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7"/>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visible"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visible" r:id="rId49"/>
    <sheet name="Сведения о закупках" sheetId="49" state="visible"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visible"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Т-транс'!$AQ$54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tc={00E30018-00AA-4740-9A44-00C8000C009C}</author>
  </authors>
  <commentList>
    <comment ref="E37" authorId="0" xr:uid="{00E30018-00AA-4740-9A44-00C8000C009C}">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tc={000C0022-0088-4394-A7D1-00C400FC00E3}</author>
    <author>tc={00C300E9-0022-4694-8070-00CA002A00C5}</author>
  </authors>
  <commentList>
    <comment ref="AZ1" authorId="0" xr:uid="{000C0022-0088-4394-A7D1-00C400FC00E3}">
      <text>
        <r>
          <rPr>
            <b/>
            <sz val="9"/>
            <rFont val="Tahoma"/>
          </rPr>
          <t>Author:</t>
        </r>
        <r>
          <rPr>
            <sz val="9"/>
            <rFont val="Tahoma"/>
          </rPr>
          <t xml:space="preserve">
Тип организации
</t>
        </r>
      </text>
    </comment>
    <comment ref="L6" authorId="1" xr:uid="{00C300E9-0022-4694-8070-00CA002A00C5}">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tc={0090002E-0027-46F4-9748-0050009700DF}</author>
    <author>tc={00830056-00B5-4CA0-B1F2-009C00F60033}</author>
  </authors>
  <commentList>
    <comment ref="P2" authorId="0" xr:uid="{0090002E-0027-46F4-9748-0050009700DF}">
      <text>
        <r>
          <rPr>
            <b/>
            <sz val="9"/>
            <rFont val="Tahoma"/>
          </rPr>
          <t>Author:</t>
        </r>
        <r>
          <rPr>
            <sz val="9"/>
            <rFont val="Tahoma"/>
          </rPr>
          <t xml:space="preserve">
сюда же для некоторых формул может входить:
- VOTV
- HOTVSNA
</t>
        </r>
      </text>
    </comment>
    <comment ref="U2" authorId="1" xr:uid="{00830056-00B5-4CA0-B1F2-009C00F60033}">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<sst xmlns="http://schemas.openxmlformats.org/spreadsheetml/2006/main" count="4176" uniqueCount="4176">
  <si>
    <t xml:space="preserve"> (требуется обновление)</t>
  </si>
  <si>
    <t xml:space="preserve">Код отчёта: PP108.OPEN.INFO.REQUEST.COLDVSNA.EIAS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</si>
  <si>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</si>
  <si>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</si>
  <si>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</si>
  <si>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</si>
  <si>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</si>
  <si>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</si>
  <si>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</si>
  <si>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</si>
  <si>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</si>
  <si>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</si>
  <si>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</si>
  <si>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</si>
  <si>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</si>
  <si>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 xml:space="preserve">Субъект РФ</t>
  </si>
  <si>
    <t xml:space="preserve">Пермский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</si>
  <si>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</si>
  <si>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</si>
  <si>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</si>
  <si>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</si>
  <si>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</si>
  <si>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</si>
  <si>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</si>
  <si>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</si>
  <si>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</si>
  <si>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</si>
  <si>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</si>
  <si>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</si>
  <si>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</si>
  <si>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</si>
  <si>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</si>
  <si>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</si>
  <si>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</si>
  <si>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</si>
  <si>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</si>
  <si>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</si>
  <si>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изменения в раскрытой ранее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</si>
  <si>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</si>
  <si>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</si>
  <si>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</si>
  <si>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ПГ/01/1304</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</si>
  <si>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</si>
  <si>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</si>
  <si>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</si>
  <si>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ПГ/01/950</t>
  </si>
  <si>
    <t xml:space="preserve">Наименование органа регулирования, принявшего решение об изменении тарифов</t>
  </si>
  <si>
    <t xml:space="preserve">филиал Пермская ГРЭС АО "Интер РАО - Электрогенерация"</t>
  </si>
  <si>
    <t xml:space="preserve">Наименование (описание) обособленного подразделения</t>
  </si>
  <si>
    <t>ИНН</t>
  </si>
  <si>
    <t>7704784450</t>
  </si>
  <si>
    <t>КПП</t>
  </si>
  <si>
    <t>591443001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</si>
  <si>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</si>
  <si>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</si>
  <si>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</si>
  <si>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</si>
  <si>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</si>
  <si>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</si>
  <si>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</si>
  <si>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</si>
  <si>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</si>
  <si>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</si>
  <si>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</si>
  <si>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</si>
  <si>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</si>
  <si>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</si>
  <si>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</si>
  <si>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</si>
  <si>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</si>
  <si>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618740, Российская Федерация, Пермский край, г.Добрянка, ул. Промышленная, д.1, Пермская ГРЭС</t>
  </si>
  <si>
    <t xml:space="preserve">Фамилия, имя, отчество руководителя</t>
  </si>
  <si>
    <t xml:space="preserve">Митин Сергей Александрович</t>
  </si>
  <si>
    <t xml:space="preserve">Ответственный за заполнение формы</t>
  </si>
  <si>
    <t xml:space="preserve">Фамилия, имя, отчество</t>
  </si>
  <si>
    <t xml:space="preserve">Девятова Лариса Владиславовна</t>
  </si>
  <si>
    <t>Должность</t>
  </si>
  <si>
    <t xml:space="preserve">начальник ПЭО</t>
  </si>
  <si>
    <t xml:space="preserve">Контактный телефон</t>
  </si>
  <si>
    <t>(34265)93358</t>
  </si>
  <si>
    <t>E-mail</t>
  </si>
  <si>
    <t>devyatova_lv@interrao.ru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</si>
  <si>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</si>
  <si>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</si>
  <si>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</si>
  <si>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</si>
  <si>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</si>
  <si>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</si>
  <si>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</si>
  <si>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</si>
  <si>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</si>
  <si>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</si>
  <si>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</si>
  <si>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</si>
  <si>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</si>
  <si>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</si>
  <si>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</si>
  <si>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</si>
  <si>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</si>
  <si>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9</t>
  </si>
  <si>
    <t xml:space="preserve">Добрянский городской округ</t>
  </si>
  <si>
    <t>57718000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</si>
  <si>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</si>
  <si>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</si>
  <si>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</si>
  <si>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</si>
  <si>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</si>
  <si>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</si>
  <si>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</si>
  <si>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</si>
  <si>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</si>
  <si>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</si>
  <si>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</si>
  <si>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</si>
  <si>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</si>
  <si>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</si>
  <si>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</si>
  <si>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</si>
  <si>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</si>
  <si>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</si>
  <si>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</si>
  <si>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</si>
  <si>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</si>
  <si>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</si>
  <si>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</si>
  <si>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</si>
  <si>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</si>
  <si>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</si>
  <si>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</si>
  <si>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</si>
  <si>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</si>
  <si>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</si>
  <si>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</si>
  <si>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</si>
  <si>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</si>
  <si>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</si>
  <si>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</si>
  <si>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</si>
  <si>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</si>
  <si>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</si>
  <si>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</si>
  <si>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</si>
  <si>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</si>
  <si>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</si>
  <si>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</si>
  <si>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</si>
  <si>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</si>
  <si>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</si>
  <si>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</si>
  <si>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</si>
  <si>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</si>
  <si>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</si>
  <si>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</si>
  <si>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</si>
  <si>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</si>
  <si>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</si>
  <si>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</si>
  <si>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</si>
  <si>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</si>
  <si>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</si>
  <si>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</si>
  <si>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</si>
  <si>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</si>
  <si>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</si>
  <si>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</si>
  <si>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</si>
  <si>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</si>
  <si>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</si>
  <si>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</si>
  <si>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</si>
  <si>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</si>
  <si>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</si>
  <si>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</si>
  <si>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</si>
  <si>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</si>
  <si>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</si>
  <si>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</si>
  <si>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</si>
  <si>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</si>
  <si>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</si>
  <si>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</si>
  <si>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</si>
  <si>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</si>
  <si>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</si>
  <si>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</si>
  <si>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</si>
  <si>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</si>
  <si>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</si>
  <si>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</si>
  <si>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</si>
  <si>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</si>
  <si>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</si>
  <si>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</si>
  <si>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</si>
  <si>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</si>
  <si>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</si>
  <si>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</si>
  <si>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</si>
  <si>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</si>
  <si>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</si>
  <si>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</si>
  <si>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</si>
  <si>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</si>
  <si>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</si>
  <si>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</si>
  <si>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</si>
  <si>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</si>
  <si>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</si>
  <si>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</si>
  <si>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</si>
  <si>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</si>
  <si>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</si>
  <si>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</si>
  <si>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</si>
  <si>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</si>
  <si>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</si>
  <si>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</si>
  <si>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</si>
  <si>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</si>
  <si>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</si>
  <si>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</si>
  <si>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</si>
  <si>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</si>
  <si>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</si>
  <si>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</si>
  <si>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</si>
  <si>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</si>
  <si>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</si>
  <si>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</si>
  <si>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</si>
  <si>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</si>
  <si>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</si>
  <si>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 xml:space="preserve">Тариф на транспортировку питьевой воды</t>
  </si>
  <si>
    <t>"4189674"</t>
  </si>
  <si>
    <t>pIns_PT_VTAR_C_COLDVSNA</t>
  </si>
  <si>
    <t>pt_ntar_11</t>
  </si>
  <si>
    <t>pt_ter_11</t>
  </si>
  <si>
    <t>pt_cs_11</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</si>
  <si>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</si>
  <si>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</si>
  <si>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</si>
  <si>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</si>
  <si>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</si>
  <si>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</si>
  <si>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</si>
  <si>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</si>
  <si>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</si>
  <si>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</si>
  <si>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</si>
  <si>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</si>
  <si>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</si>
  <si>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</si>
  <si>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</si>
  <si>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</si>
  <si>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</si>
  <si>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</si>
  <si>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</si>
  <si>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</si>
  <si>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</si>
  <si>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</si>
  <si>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</si>
  <si>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</si>
  <si>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</si>
  <si>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</si>
  <si>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</si>
  <si>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</si>
  <si>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</si>
  <si>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</si>
  <si>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</si>
  <si>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</si>
  <si>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</si>
  <si>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</si>
  <si>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</si>
  <si>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</si>
  <si>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</si>
  <si>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</si>
  <si>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</si>
  <si>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</si>
  <si>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</si>
  <si>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</si>
  <si>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</si>
  <si>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</si>
  <si>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</si>
  <si>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</si>
  <si>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</si>
  <si>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</si>
  <si>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</si>
  <si>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</si>
  <si>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</si>
  <si>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</si>
  <si>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</si>
  <si>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</si>
  <si>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</si>
  <si>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</si>
  <si>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</si>
  <si>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</si>
  <si>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</si>
  <si>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</si>
  <si>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</si>
  <si>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</si>
  <si>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</si>
  <si>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</si>
  <si>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</si>
  <si>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</si>
  <si>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</si>
  <si>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</si>
  <si>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</si>
  <si>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</si>
  <si>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</si>
  <si>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</si>
  <si>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</si>
  <si>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</si>
  <si>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</si>
  <si>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</si>
  <si>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</si>
  <si>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</si>
  <si>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</si>
  <si>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</si>
  <si>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</si>
  <si>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</si>
  <si>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</si>
  <si>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</si>
  <si>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</si>
  <si>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</si>
  <si>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</si>
  <si>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</si>
  <si>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</si>
  <si>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</si>
  <si>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</si>
  <si>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</si>
  <si>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</si>
  <si>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</si>
  <si>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</si>
  <si>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</si>
  <si>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</si>
  <si>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</si>
  <si>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</si>
  <si>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</si>
  <si>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</si>
  <si>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</si>
  <si>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</si>
  <si>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</si>
  <si>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</si>
  <si>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</si>
  <si>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</si>
  <si>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</si>
  <si>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</si>
  <si>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</si>
  <si>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</si>
  <si>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</si>
  <si>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</si>
  <si>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</si>
  <si>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</si>
  <si>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</si>
  <si>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</si>
  <si>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</si>
  <si>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</si>
  <si>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</si>
  <si>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</si>
  <si>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</si>
  <si>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</si>
  <si>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</si>
  <si>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</si>
  <si>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</si>
  <si>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</si>
  <si>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</si>
  <si>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</si>
  <si>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</si>
  <si>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</si>
  <si>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</si>
  <si>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</si>
  <si>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</si>
  <si>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</si>
  <si>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</si>
  <si>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</si>
  <si>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</si>
  <si>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</si>
  <si>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</si>
  <si>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</si>
  <si>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</si>
  <si>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</si>
  <si>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</si>
  <si>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</si>
  <si>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</si>
  <si>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</si>
  <si>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</si>
  <si>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</si>
  <si>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</si>
  <si>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</si>
  <si>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</si>
  <si>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</si>
  <si>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</si>
  <si>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</si>
  <si>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</si>
  <si>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</si>
  <si>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</si>
  <si>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</si>
  <si>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</si>
  <si>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</si>
  <si>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</si>
  <si>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</si>
  <si>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</si>
  <si>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</si>
  <si>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</si>
  <si>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</si>
  <si>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</si>
  <si>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</si>
  <si>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</si>
  <si>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</si>
  <si>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</si>
  <si>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</si>
  <si>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</si>
  <si>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</si>
  <si>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</si>
  <si>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</si>
  <si>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</si>
  <si>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</si>
  <si>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</si>
  <si>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</si>
  <si>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</si>
  <si>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</si>
  <si>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</si>
  <si>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</si>
  <si>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</si>
  <si>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</si>
  <si>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</si>
  <si>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</si>
  <si>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</si>
  <si>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</si>
  <si>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</si>
  <si>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</si>
  <si>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</si>
  <si>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</si>
  <si>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</si>
  <si>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</si>
  <si>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</si>
  <si>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</si>
  <si>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</si>
  <si>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</si>
  <si>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</si>
  <si>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</si>
  <si>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</si>
  <si>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</si>
  <si>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</si>
  <si>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</si>
  <si>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</si>
  <si>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</si>
  <si>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</si>
  <si>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</si>
  <si>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</si>
  <si>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</si>
  <si>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</si>
  <si>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</si>
  <si>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</si>
  <si>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</si>
  <si>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</si>
  <si>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</si>
  <si>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</si>
  <si>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</si>
  <si>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</si>
  <si>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</si>
  <si>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</si>
  <si>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</si>
  <si>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</si>
  <si>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</si>
  <si>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</si>
  <si>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</si>
  <si>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</si>
  <si>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</si>
  <si>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</si>
  <si>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</si>
  <si>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</si>
  <si>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</si>
  <si>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</si>
  <si>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</si>
  <si>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</si>
  <si>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</si>
  <si>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</si>
  <si>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</si>
  <si>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</si>
  <si>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</si>
  <si>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</si>
  <si>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</si>
  <si>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</si>
  <si>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</si>
  <si>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</si>
  <si>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</si>
  <si>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</si>
  <si>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</si>
  <si>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</si>
  <si>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</si>
  <si>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</si>
  <si>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</si>
  <si>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</si>
  <si>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</si>
  <si>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</si>
  <si>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t>
  </si>
  <si>
    <t>pt_ist_te_11</t>
  </si>
  <si>
    <t>прочие</t>
  </si>
  <si>
    <t xml:space="preserve">Тариф на услуги по транспортировке сточных вод (признака дифференциации нет)</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</si>
  <si>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</si>
  <si>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</si>
  <si>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</si>
  <si>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</si>
  <si>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</si>
  <si>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</si>
  <si>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</si>
  <si>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</si>
  <si>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</si>
  <si>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</si>
  <si>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</si>
  <si>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</si>
  <si>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</si>
  <si>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</si>
  <si>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</si>
  <si>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</si>
  <si>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</si>
  <si>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</si>
  <si>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</si>
  <si>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</si>
  <si>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</si>
  <si>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</si>
  <si>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</si>
  <si>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</si>
  <si>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</si>
  <si>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</si>
  <si>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</si>
  <si>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</si>
  <si>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</si>
  <si>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</si>
  <si>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</si>
  <si>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</si>
  <si>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</si>
  <si>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</si>
  <si>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</si>
  <si>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</si>
  <si>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</si>
  <si>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</si>
  <si>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</si>
  <si>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</si>
  <si>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</si>
  <si>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</si>
  <si>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</si>
  <si>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</si>
  <si>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</si>
  <si>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</si>
  <si>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</si>
  <si>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</si>
  <si>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</si>
  <si>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</si>
  <si>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</si>
  <si>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</si>
  <si>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</si>
  <si>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</si>
  <si>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</si>
  <si>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</si>
  <si>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</si>
  <si>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</si>
  <si>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</si>
  <si>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</si>
  <si>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</si>
  <si>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</si>
  <si>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</si>
  <si>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</si>
  <si>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</si>
  <si>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</si>
  <si>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</si>
  <si>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</si>
  <si>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</si>
  <si>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</si>
  <si>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</si>
  <si>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</si>
  <si>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</si>
  <si>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</si>
  <si>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</si>
  <si>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</si>
  <si>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</si>
  <si>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</si>
  <si>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</si>
  <si>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</si>
  <si>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</si>
  <si>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</si>
  <si>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</si>
  <si>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</si>
  <si>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</si>
  <si>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</si>
  <si>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</si>
  <si>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</si>
  <si>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</si>
  <si>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</si>
  <si>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</si>
  <si>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</si>
  <si>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</si>
  <si>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</si>
  <si>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</si>
  <si>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</si>
  <si>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</si>
  <si>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</si>
  <si>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</si>
  <si>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</si>
  <si>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</si>
  <si>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</si>
  <si>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</si>
  <si>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</si>
  <si>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</si>
  <si>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</si>
  <si>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</si>
  <si>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</si>
  <si>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</si>
  <si>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</si>
  <si>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</si>
  <si>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</si>
  <si>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</si>
  <si>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</si>
  <si>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</si>
  <si>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</si>
  <si>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</si>
  <si>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</si>
  <si>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</si>
  <si>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</si>
  <si>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</si>
  <si>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</si>
  <si>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</si>
  <si>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</si>
  <si>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</si>
  <si>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</si>
  <si>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</si>
  <si>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</si>
  <si>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</si>
  <si>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</si>
  <si>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</si>
  <si>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</si>
  <si>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</si>
  <si>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</si>
  <si>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</si>
  <si>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</si>
  <si>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</si>
  <si>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</si>
  <si>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</si>
  <si>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</si>
  <si>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</si>
  <si>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</si>
  <si>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</si>
  <si>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</si>
  <si>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</si>
  <si>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</si>
  <si>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</si>
  <si>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</si>
  <si>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</si>
  <si>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</si>
  <si>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</si>
  <si>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</si>
  <si>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</si>
  <si>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</si>
  <si>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</si>
  <si>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</si>
  <si>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</si>
  <si>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</si>
  <si>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</si>
  <si>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</si>
  <si>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</si>
  <si>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</si>
  <si>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</si>
  <si>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</si>
  <si>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</si>
  <si>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</si>
  <si>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</si>
  <si>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</si>
  <si>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</si>
  <si>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</si>
  <si>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</si>
  <si>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</si>
  <si>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</si>
  <si>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</si>
  <si>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</si>
  <si>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</si>
  <si>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</si>
  <si>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</si>
  <si>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</si>
  <si>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</si>
  <si>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</si>
  <si>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</si>
  <si>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</si>
  <si>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</si>
  <si>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</si>
  <si>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</si>
  <si>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</si>
  <si>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</si>
  <si>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</si>
  <si>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</si>
  <si>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</si>
  <si>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</si>
  <si>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</si>
  <si>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</si>
  <si>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</si>
  <si>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</si>
  <si>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</si>
  <si>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</si>
  <si>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</si>
  <si>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</si>
  <si>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</si>
  <si>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</si>
  <si>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</si>
  <si>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</si>
  <si>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</si>
  <si>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</si>
  <si>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</si>
  <si>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</si>
  <si>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</si>
  <si>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</si>
  <si>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</si>
  <si>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</si>
  <si>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</si>
  <si>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</si>
  <si>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</si>
  <si>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</si>
  <si>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</si>
  <si>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</si>
  <si>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</si>
  <si>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</si>
  <si>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</si>
  <si>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</si>
  <si>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</si>
  <si>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</si>
  <si>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</si>
  <si>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</si>
  <si>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</si>
  <si>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</si>
  <si>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</si>
  <si>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</si>
  <si>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</si>
  <si>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</si>
  <si>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</si>
  <si>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</si>
  <si>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</si>
  <si>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</si>
  <si>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</si>
  <si>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</si>
  <si>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</si>
  <si>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</si>
  <si>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</si>
  <si>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</si>
  <si>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</si>
  <si>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</si>
  <si>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</si>
  <si>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</si>
  <si>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</si>
  <si>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</si>
  <si>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</si>
  <si>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</si>
  <si>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</si>
  <si>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</si>
  <si>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</si>
  <si>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</si>
  <si>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</si>
  <si>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</si>
  <si>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</si>
  <si>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</si>
  <si>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</si>
  <si>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</si>
  <si>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</si>
  <si>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</si>
  <si>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</si>
  <si>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</si>
  <si>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</si>
  <si>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</si>
  <si>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</si>
  <si>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</si>
  <si>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</si>
  <si>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</si>
  <si>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</si>
  <si>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</si>
  <si>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</si>
  <si>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</si>
  <si>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</si>
  <si>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</si>
  <si>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</si>
  <si>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</si>
  <si>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</si>
  <si>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</si>
  <si>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</si>
  <si>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</si>
  <si>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</si>
  <si>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</si>
  <si>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</si>
  <si>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</si>
  <si>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</si>
  <si>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</si>
  <si>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</si>
  <si>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</si>
  <si>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</si>
  <si>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</si>
  <si>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</si>
  <si>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</si>
  <si>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</si>
  <si>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</si>
  <si>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</si>
  <si>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</si>
  <si>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</si>
  <si>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</si>
  <si>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</si>
  <si>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</si>
  <si>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</si>
  <si>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</si>
  <si>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</si>
  <si>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</si>
  <si>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</si>
  <si>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</si>
  <si>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</si>
  <si>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</si>
  <si>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</si>
  <si>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</si>
  <si>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</si>
  <si>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</si>
  <si>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</si>
  <si>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</si>
  <si>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</si>
  <si>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</si>
  <si>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</si>
  <si>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</si>
  <si>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</si>
  <si>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</si>
  <si>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</si>
  <si>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</si>
  <si>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</si>
  <si>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</si>
  <si>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</si>
  <si>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</si>
  <si>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</si>
  <si>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</si>
  <si>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</si>
  <si>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</si>
  <si>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</si>
  <si>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</si>
  <si>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</si>
  <si>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</si>
  <si>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</si>
  <si>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</si>
  <si>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</si>
  <si>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</si>
  <si>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</si>
  <si>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</si>
  <si>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</si>
  <si>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</si>
  <si>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</si>
  <si>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</si>
  <si>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</si>
  <si>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</si>
  <si>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</si>
  <si>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</si>
  <si>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</si>
  <si>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</si>
  <si>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</si>
  <si>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</si>
  <si>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</si>
  <si>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</si>
  <si>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</si>
  <si>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</si>
  <si>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</si>
  <si>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</si>
  <si>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</si>
  <si>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</si>
  <si>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</si>
  <si>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</si>
  <si>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</si>
  <si>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</si>
  <si>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</si>
  <si>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</si>
  <si>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</si>
  <si>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</si>
  <si>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</si>
  <si>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</si>
  <si>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</si>
  <si>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</si>
  <si>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</si>
  <si>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</si>
  <si>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</si>
  <si>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</si>
  <si>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</si>
  <si>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</si>
  <si>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</si>
  <si>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</si>
  <si>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</si>
  <si>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</si>
  <si>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</si>
  <si>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</si>
  <si>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</si>
  <si>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</si>
  <si>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</si>
  <si>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</si>
  <si>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</si>
  <si>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</si>
  <si>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</si>
  <si>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</si>
  <si>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</si>
  <si>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</si>
  <si>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</si>
  <si>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</si>
  <si>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</si>
  <si>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</si>
  <si>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</si>
  <si>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</si>
  <si>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</si>
  <si>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</si>
  <si>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</si>
  <si>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</si>
  <si>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</si>
  <si>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</si>
  <si>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</si>
  <si>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</si>
  <si>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</si>
  <si>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</si>
  <si>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</si>
  <si>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</si>
  <si>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</si>
  <si>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</si>
  <si>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</si>
  <si>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</si>
  <si>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</si>
  <si>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</si>
  <si>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</si>
  <si>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</si>
  <si>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</si>
  <si>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</si>
  <si>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</si>
  <si>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</si>
  <si>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</si>
  <si>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</si>
  <si>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</si>
  <si>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</si>
  <si>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</si>
  <si>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</si>
  <si>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</si>
  <si>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</si>
  <si>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</si>
  <si>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</si>
  <si>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</si>
  <si>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</si>
  <si>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</si>
  <si>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</si>
  <si>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</si>
  <si>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</si>
  <si>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</si>
  <si>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</si>
  <si>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</si>
  <si>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</si>
  <si>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</si>
  <si>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</si>
  <si>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</si>
  <si>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</si>
  <si>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</si>
  <si>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</si>
  <si>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</si>
  <si>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</si>
  <si>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</si>
  <si>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</si>
  <si>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</si>
  <si>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</si>
  <si>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</si>
  <si>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</si>
  <si>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</si>
  <si>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</si>
  <si>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</si>
  <si>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</si>
  <si>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</si>
  <si>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</si>
  <si>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</si>
  <si>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</si>
  <si>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</si>
  <si>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</si>
  <si>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</si>
  <si>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</si>
  <si>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</si>
  <si>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</si>
  <si>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</si>
  <si>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</si>
  <si>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</si>
  <si>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</si>
  <si>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</si>
  <si>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</si>
  <si>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</si>
  <si>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</si>
  <si>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</si>
  <si>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</si>
  <si>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</si>
  <si>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</si>
  <si>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</si>
  <si>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</si>
  <si>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</si>
  <si>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</si>
  <si>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</si>
  <si>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</si>
  <si>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</si>
  <si>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</si>
  <si>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</si>
  <si>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</si>
  <si>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</si>
  <si>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</si>
  <si>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</si>
  <si>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</si>
  <si>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</si>
  <si>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</si>
  <si>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</si>
  <si>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</si>
  <si>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</si>
  <si>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</si>
  <si>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</si>
  <si>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</si>
  <si>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</si>
  <si>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</si>
  <si>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</si>
  <si>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</si>
  <si>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</si>
  <si>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</si>
  <si>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</si>
  <si>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</si>
  <si>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</si>
  <si>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</si>
  <si>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</si>
  <si>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</si>
  <si>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</si>
  <si>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</si>
  <si>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</si>
  <si>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</si>
  <si>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</si>
  <si>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</si>
  <si>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</si>
  <si>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</si>
  <si>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</si>
  <si>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</si>
  <si>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</si>
  <si>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</si>
  <si>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</si>
  <si>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</si>
  <si>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</si>
  <si>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</si>
  <si>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</si>
  <si>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</si>
  <si>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</si>
  <si>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</si>
  <si>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</si>
  <si>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</si>
  <si>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</si>
  <si>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</si>
  <si>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</si>
  <si>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</si>
  <si>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</si>
  <si>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</si>
  <si>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</si>
  <si>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</si>
  <si>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</si>
  <si>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</si>
  <si>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</si>
  <si>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</si>
  <si>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</si>
  <si>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</si>
  <si>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</si>
  <si>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</si>
  <si>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</si>
  <si>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</si>
  <si>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</si>
  <si>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</si>
  <si>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</si>
  <si>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</si>
  <si>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</si>
  <si>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</si>
  <si>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</si>
  <si>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</si>
  <si>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</si>
  <si>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</si>
  <si>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</si>
  <si>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</si>
  <si>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</si>
  <si>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</si>
  <si>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</si>
  <si>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</si>
  <si>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</si>
  <si>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</si>
  <si>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</si>
  <si>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</si>
  <si>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</si>
  <si>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</si>
  <si>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</si>
  <si>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</si>
  <si>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</si>
  <si>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</si>
  <si>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</si>
  <si>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</si>
  <si>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</si>
  <si>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</si>
  <si>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</si>
  <si>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</si>
  <si>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</si>
  <si>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</si>
  <si>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</si>
  <si>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</si>
  <si>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</si>
  <si>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</si>
  <si>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</si>
  <si>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</si>
  <si>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</si>
  <si>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</si>
  <si>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</si>
  <si>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</si>
  <si>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</si>
  <si>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</si>
  <si>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</si>
  <si>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</si>
  <si>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</si>
  <si>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</si>
  <si>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</si>
  <si>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</si>
  <si>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</si>
  <si>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</si>
  <si>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</si>
  <si>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</si>
  <si>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</si>
  <si>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</si>
  <si>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</si>
  <si>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</si>
  <si>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</si>
  <si>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</si>
  <si>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</si>
  <si>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</si>
  <si>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</si>
  <si>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</si>
  <si>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</si>
  <si>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</si>
  <si>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</si>
  <si>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</si>
  <si>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</si>
  <si>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</si>
  <si>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</si>
  <si>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</si>
  <si>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</si>
  <si>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</si>
  <si>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</si>
  <si>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</si>
  <si>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</si>
  <si>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</si>
  <si>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</si>
  <si>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</si>
  <si>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</si>
  <si>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</si>
  <si>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</si>
  <si>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</si>
  <si>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</si>
  <si>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</si>
  <si>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</si>
  <si>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</si>
  <si>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</si>
  <si>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</si>
  <si>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метод индексации установленных тарифов</t>
  </si>
  <si>
    <t>https://portal.eias.ru/Portal/DownloadPage.aspx?type=12&amp;guid=9f912c07-6d08-42b8-aaa0-7b810b64b36b</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</si>
  <si>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</si>
  <si>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</si>
  <si>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</si>
  <si>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Положение о порядке проведения закупок товаров, работ , услуг, утвержденное решение Совета директоров АО "Интер РАО - Электрогенерация" от 14.07.2023 №440.</t>
  </si>
  <si>
    <t>https://regportal-tariff.ru/disclo/get_file?p_guid=f06a16db-6d14-4e31-894d-fa6bcbcf46c6</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</si>
  <si>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</si>
  <si>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Единой информационной системы в сфере закупок https://zakupki.gov.ru/</t>
  </si>
  <si>
    <t>https://zakupki.gov.ru/epz/organization/view223/info.html?agencyId=12496</t>
  </si>
  <si>
    <t xml:space="preserve">План закупки товаров, работ, услуг № 2230713387 АО "Интер РАО - Электрогенерация" размещен на официальном сайте https://zakupki.gov.ru/</t>
  </si>
  <si>
    <t>https://zakupki.gov.ru/epz/orderplan/purchase-plan/card/common-info.html?id=923751&amp;infoId=8115967</t>
  </si>
  <si>
    <t xml:space="preserve">Публикуются на  https://zakupki.gov.ru/</t>
  </si>
  <si>
    <t>https://zakupki.gov.ru/epz/order/extendedsearch/results.html</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</si>
  <si>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</si>
  <si>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</si>
  <si>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</si>
  <si>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</si>
  <si>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</si>
  <si>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</si>
  <si>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</si>
  <si>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</si>
  <si>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</si>
  <si>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</si>
  <si>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</si>
  <si>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</si>
  <si>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</si>
  <si>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</si>
  <si>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</si>
  <si>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</si>
  <si>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</si>
  <si>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</si>
  <si>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</si>
  <si>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</si>
  <si>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</si>
  <si>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</si>
  <si>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</si>
  <si>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</si>
  <si>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</si>
  <si>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</si>
  <si>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</si>
  <si>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</si>
  <si>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</si>
  <si>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</si>
  <si>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</si>
  <si>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</si>
  <si>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</si>
  <si>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</si>
  <si>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</si>
  <si>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</si>
  <si>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</si>
  <si>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</si>
  <si>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</si>
  <si>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</si>
  <si>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</si>
  <si>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</si>
  <si>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</si>
  <si>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</si>
  <si>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</si>
  <si>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</si>
  <si>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</si>
  <si>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</si>
  <si>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</si>
  <si>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</si>
  <si>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</si>
  <si>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</si>
  <si>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</si>
  <si>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</si>
  <si>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</si>
  <si>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</si>
  <si>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</si>
  <si>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</si>
  <si>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</si>
  <si>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первичное раскрытие информации</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</si>
  <si>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</si>
  <si>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</si>
  <si>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</si>
  <si>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</si>
  <si>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</si>
  <si>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</si>
  <si>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</si>
  <si>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</si>
  <si>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</si>
  <si>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</si>
  <si>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</si>
  <si>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</si>
  <si>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</si>
  <si>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</si>
  <si>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</si>
  <si>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</si>
  <si>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</si>
  <si>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</si>
  <si>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</si>
  <si>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</si>
  <si>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</si>
  <si>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</si>
  <si>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</si>
  <si>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</si>
  <si>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Передача</t>
  </si>
  <si>
    <t>пар</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</si>
  <si>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</si>
  <si>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</si>
  <si>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</si>
  <si>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</si>
  <si>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</si>
  <si>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</si>
  <si>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</si>
  <si>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</si>
  <si>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</si>
  <si>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</si>
  <si>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</si>
  <si>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</si>
  <si>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</si>
  <si>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</si>
  <si>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</si>
  <si>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</si>
  <si>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</si>
  <si>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</si>
  <si>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</si>
  <si>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</si>
  <si>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</si>
  <si>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</si>
  <si>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</si>
  <si>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</si>
  <si>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</si>
  <si>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</si>
  <si>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</si>
  <si>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</si>
  <si>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</si>
  <si>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</si>
  <si>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</si>
  <si>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</si>
  <si>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</si>
  <si>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</si>
  <si>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</si>
  <si>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</si>
  <si>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</si>
  <si>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</si>
  <si>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</si>
  <si>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</si>
  <si>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</si>
  <si>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</si>
  <si>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</si>
  <si>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</si>
  <si>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</si>
  <si>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</si>
  <si>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</si>
  <si>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</si>
  <si>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</si>
  <si>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</si>
  <si>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</si>
  <si>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</si>
  <si>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</si>
  <si>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</si>
  <si>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</si>
  <si>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</si>
  <si>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</si>
  <si>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</si>
  <si>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</si>
  <si>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</si>
  <si>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</si>
  <si>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</si>
  <si>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</si>
  <si>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</si>
  <si>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</si>
  <si>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</si>
  <si>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</si>
  <si>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</si>
  <si>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</si>
  <si>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</si>
  <si>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</si>
  <si>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</si>
  <si>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</si>
  <si>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</si>
  <si>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</si>
  <si>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</si>
  <si>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</si>
  <si>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</si>
  <si>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</si>
  <si>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</si>
  <si>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</si>
  <si>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</si>
  <si>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</si>
  <si>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</si>
  <si>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</si>
  <si>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</si>
  <si>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</si>
  <si>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</si>
  <si>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</si>
  <si>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</si>
  <si>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</si>
  <si>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</si>
  <si>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</si>
  <si>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</si>
  <si>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</si>
  <si>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</si>
  <si>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</si>
  <si>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</si>
  <si>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</si>
  <si>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</si>
  <si>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</si>
  <si>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</si>
  <si>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</si>
  <si>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</si>
  <si>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</si>
  <si>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</si>
  <si>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</si>
  <si>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</si>
  <si>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</si>
  <si>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</si>
  <si>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</si>
  <si>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</si>
  <si>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</si>
  <si>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</si>
  <si>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</si>
  <si>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</si>
  <si>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</si>
  <si>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</si>
  <si>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</si>
  <si>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</si>
  <si>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</si>
  <si>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</si>
  <si>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</si>
  <si>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</si>
  <si>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</si>
  <si>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</si>
  <si>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</si>
  <si>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</si>
  <si>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</si>
  <si>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</si>
  <si>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</si>
  <si>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</si>
  <si>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</si>
  <si>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</si>
  <si>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</si>
  <si>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</si>
  <si>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</si>
  <si>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</si>
  <si>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</si>
  <si>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</si>
  <si>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</si>
  <si>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</si>
  <si>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</si>
  <si>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</si>
  <si>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</si>
  <si>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</si>
  <si>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</si>
  <si>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</si>
  <si>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</si>
  <si>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</si>
  <si>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</si>
  <si>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</si>
  <si>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</si>
  <si>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</si>
  <si>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</si>
  <si>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</si>
  <si>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</si>
  <si>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</si>
  <si>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</si>
  <si>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</si>
  <si>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</si>
  <si>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</si>
  <si>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</si>
  <si>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</si>
  <si>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</si>
  <si>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</si>
  <si>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</si>
  <si>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</si>
  <si>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</si>
  <si>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</si>
  <si>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</si>
  <si>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</si>
  <si>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</si>
  <si>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</si>
  <si>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</si>
  <si>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</si>
  <si>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</si>
  <si>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</si>
  <si>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</si>
  <si>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</si>
  <si>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</si>
  <si>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</si>
  <si>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</si>
  <si>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</si>
  <si>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</si>
  <si>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</si>
  <si>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</si>
  <si>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</si>
  <si>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</si>
  <si>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</si>
  <si>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</si>
  <si>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</si>
  <si>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</si>
  <si>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</si>
  <si>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</si>
  <si>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</si>
  <si>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</si>
  <si>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</si>
  <si>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</si>
  <si>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</si>
  <si>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</si>
  <si>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</si>
  <si>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</si>
  <si>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</si>
  <si>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</si>
  <si>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</si>
  <si>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</si>
  <si>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</si>
  <si>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</si>
  <si>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</si>
  <si>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</si>
  <si>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</si>
  <si>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</si>
  <si>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</si>
  <si>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</si>
  <si>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</si>
  <si>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</si>
  <si>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</si>
  <si>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</si>
  <si>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</si>
  <si>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</si>
  <si>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</si>
  <si>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</si>
  <si>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</si>
  <si>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</si>
  <si>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</si>
  <si>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</si>
  <si>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</si>
  <si>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</si>
  <si>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</si>
  <si>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</si>
  <si>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</si>
  <si>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</si>
  <si>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</si>
  <si>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</si>
  <si>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</si>
  <si>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</si>
  <si>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</si>
  <si>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</si>
  <si>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</si>
  <si>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</si>
  <si>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</si>
  <si>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</si>
  <si>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</si>
  <si>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</si>
  <si>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</si>
  <si>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</si>
  <si>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</si>
  <si>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</si>
  <si>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</si>
  <si>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</si>
  <si>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</si>
  <si>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</si>
  <si>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</si>
  <si>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</si>
  <si>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</si>
  <si>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</si>
  <si>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</si>
  <si>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</si>
  <si>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</si>
  <si>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</si>
  <si>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</si>
  <si>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</si>
  <si>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</si>
  <si>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</si>
  <si>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</si>
  <si>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</si>
  <si>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</si>
  <si>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</si>
  <si>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</si>
  <si>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</si>
  <si>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</si>
  <si>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</si>
  <si>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</si>
  <si>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</si>
  <si>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</si>
  <si>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</si>
  <si>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</si>
  <si>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</si>
  <si>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</si>
  <si>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</si>
  <si>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</si>
  <si>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</si>
  <si>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</si>
  <si>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</si>
  <si>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</si>
  <si>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</si>
  <si>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</si>
  <si>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</si>
  <si>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</si>
  <si>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</si>
  <si>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</si>
  <si>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</si>
  <si>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</si>
  <si>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</si>
  <si>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</si>
  <si>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</si>
  <si>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</si>
  <si>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</si>
  <si>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</si>
  <si>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</si>
  <si>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</si>
  <si>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</si>
  <si>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</si>
  <si>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</si>
  <si>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</si>
  <si>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</si>
  <si>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</si>
  <si>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</si>
  <si>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</si>
  <si>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</si>
  <si>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</si>
  <si>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</si>
  <si>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</si>
  <si>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</si>
  <si>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</si>
  <si>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</si>
  <si>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</si>
  <si>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</si>
  <si>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</si>
  <si>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</si>
  <si>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</si>
  <si>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</si>
  <si>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</si>
  <si>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</si>
  <si>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</si>
  <si>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</si>
  <si>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</si>
  <si>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</si>
  <si>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</si>
  <si>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</si>
  <si>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</si>
  <si>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</si>
  <si>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</si>
  <si>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</si>
  <si>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</si>
  <si>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</si>
  <si>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</si>
  <si>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</si>
  <si>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</si>
  <si>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</si>
  <si>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</si>
  <si>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</si>
  <si>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</si>
  <si>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</si>
  <si>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</si>
  <si>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</si>
  <si>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</si>
  <si>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</si>
  <si>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</si>
  <si>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</si>
  <si>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</si>
  <si>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</si>
  <si>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</si>
  <si>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</si>
  <si>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</si>
  <si>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</si>
  <si>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</si>
  <si>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</si>
  <si>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</si>
  <si>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</si>
  <si>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</si>
  <si>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</si>
  <si>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</si>
  <si>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</si>
  <si>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</si>
  <si>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</si>
  <si>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</si>
  <si>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</si>
  <si>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</si>
  <si>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</si>
  <si>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</si>
  <si>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</si>
  <si>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</si>
  <si>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</si>
  <si>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</si>
  <si>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</si>
  <si>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</si>
  <si>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</si>
  <si>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</si>
  <si>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</si>
  <si>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</si>
  <si>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</si>
  <si>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</si>
  <si>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</si>
  <si>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</si>
  <si>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</si>
  <si>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</si>
  <si>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</si>
  <si>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</si>
  <si>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</si>
  <si>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</si>
  <si>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</si>
  <si>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</si>
  <si>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</si>
  <si>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</si>
  <si>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</si>
  <si>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R</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</si>
  <si>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</si>
  <si>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</si>
  <si>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</si>
  <si>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</si>
  <si>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</si>
  <si>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</si>
  <si>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</si>
  <si>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</si>
  <si>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</si>
  <si>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</si>
  <si>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</si>
  <si>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</si>
  <si>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</si>
  <si>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</si>
  <si>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</si>
  <si>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</si>
  <si>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</si>
  <si>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</si>
  <si>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</si>
  <si>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</si>
  <si>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</si>
  <si>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</si>
  <si>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</si>
  <si>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</si>
  <si>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</si>
  <si>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</si>
  <si>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</si>
  <si>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</si>
  <si>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</si>
  <si>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</si>
  <si>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</si>
  <si>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</si>
  <si>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</si>
  <si>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</si>
  <si>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</si>
  <si>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</si>
  <si>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</si>
  <si>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</si>
  <si>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</si>
  <si>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</si>
  <si>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</si>
  <si>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</si>
  <si>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</si>
  <si>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</si>
  <si>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</si>
  <si>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</si>
  <si>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</si>
  <si>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</si>
  <si>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</si>
  <si>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</si>
  <si>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</si>
  <si>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</si>
  <si>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</si>
  <si>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</si>
  <si>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</si>
  <si>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</si>
  <si>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</si>
  <si>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</si>
  <si>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</si>
  <si>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</si>
  <si>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</si>
  <si>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</si>
  <si>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</si>
  <si>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</si>
  <si>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</si>
  <si>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</si>
  <si>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</si>
  <si>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</si>
  <si>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</si>
  <si>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</si>
  <si>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</si>
  <si>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</si>
  <si>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</si>
  <si>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</si>
  <si>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</si>
  <si>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</si>
  <si>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</si>
  <si>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</si>
  <si>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</si>
  <si>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</si>
  <si>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</si>
  <si>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</si>
  <si>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</si>
  <si>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</si>
  <si>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</si>
  <si>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</si>
  <si>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</si>
  <si>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</si>
  <si>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</si>
  <si>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</si>
  <si>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</si>
  <si>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</si>
  <si>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</si>
  <si>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</si>
  <si>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</si>
  <si>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</si>
  <si>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</si>
  <si>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</si>
  <si>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</si>
  <si>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</si>
  <si>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</si>
  <si>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</si>
  <si>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</si>
  <si>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</si>
  <si>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</si>
  <si>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</si>
  <si>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</si>
  <si>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</si>
  <si>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</si>
  <si>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</si>
  <si>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</si>
  <si>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</si>
  <si>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</si>
  <si>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</si>
  <si>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</si>
  <si>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</si>
  <si>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</si>
  <si>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</si>
  <si>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</si>
  <si>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</si>
  <si>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</si>
  <si>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</si>
  <si>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</si>
  <si>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</si>
  <si>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</si>
  <si>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</si>
  <si>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</si>
  <si>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</si>
  <si>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</si>
  <si>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</si>
  <si>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</si>
  <si>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</si>
  <si>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</si>
  <si>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</si>
  <si>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</si>
  <si>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</si>
  <si>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</si>
  <si>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</si>
  <si>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</si>
  <si>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</si>
  <si>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</si>
  <si>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</si>
  <si>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</si>
  <si>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</si>
  <si>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</si>
  <si>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</si>
  <si>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</si>
  <si>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</si>
  <si>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</si>
  <si>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</si>
  <si>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</si>
  <si>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</si>
  <si>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</si>
  <si>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</si>
  <si>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</si>
  <si>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</si>
  <si>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</si>
  <si>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</si>
  <si>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</si>
  <si>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</si>
  <si>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</si>
  <si>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</si>
  <si>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</si>
  <si>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</si>
  <si>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</si>
  <si>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</si>
  <si>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</si>
  <si>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</si>
  <si>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</si>
  <si>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</si>
  <si>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</si>
  <si>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</si>
  <si>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</si>
  <si>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</si>
  <si>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</si>
  <si>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</si>
  <si>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</si>
  <si>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</si>
  <si>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</si>
  <si>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</si>
  <si>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</si>
  <si>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</si>
  <si>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</si>
  <si>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</si>
  <si>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</si>
  <si>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</si>
  <si>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</si>
  <si>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</si>
  <si>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</si>
  <si>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</si>
  <si>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</si>
  <si>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</si>
  <si>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</si>
  <si>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</si>
  <si>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</si>
  <si>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</si>
  <si>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</si>
  <si>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</si>
  <si>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</si>
  <si>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</si>
  <si>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</si>
  <si>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</si>
  <si>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</si>
  <si>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</si>
  <si>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</si>
  <si>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</si>
  <si>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</si>
  <si>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</si>
  <si>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</si>
  <si>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</si>
  <si>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</si>
  <si>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</si>
  <si>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</si>
  <si>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</si>
  <si>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</si>
  <si>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</si>
  <si>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</si>
  <si>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</si>
  <si>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</si>
  <si>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</si>
  <si>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</si>
  <si>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</si>
  <si>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</si>
  <si>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</si>
  <si>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</si>
  <si>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</si>
  <si>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</si>
  <si>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</si>
  <si>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</si>
  <si>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</si>
  <si>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</si>
  <si>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</si>
  <si>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</si>
  <si>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</si>
  <si>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</si>
  <si>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</si>
  <si>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</si>
  <si>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</si>
  <si>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</si>
  <si>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</si>
  <si>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</si>
  <si>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</si>
  <si>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</si>
  <si>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</si>
  <si>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</si>
  <si>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</si>
  <si>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</si>
  <si>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</si>
  <si>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</si>
  <si>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</si>
  <si>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</si>
  <si>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</si>
  <si>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</si>
  <si>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</si>
  <si>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</si>
  <si>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</si>
  <si>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 xml:space="preserve">Заявление от 24.04.2024 №ПГ/01/950 "Об установлении (корректировке) тарифов на транспортировку питьевой воды на 2025 год в рамках долгосрочного периода 2024-2028 годов"</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</si>
  <si>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</si>
  <si>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</si>
  <si>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</si>
  <si>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</si>
  <si>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</si>
  <si>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</si>
  <si>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</si>
  <si>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</si>
  <si>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</si>
  <si>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</si>
  <si>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</si>
  <si>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</si>
  <si>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</si>
  <si>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</si>
  <si>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</si>
  <si>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</si>
  <si>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</si>
  <si>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</si>
  <si>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</si>
  <si>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</si>
  <si>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</si>
  <si>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</si>
  <si>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</si>
  <si>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</si>
  <si>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</si>
  <si>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</si>
  <si>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</si>
  <si>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</si>
  <si>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</si>
  <si>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</si>
  <si>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</si>
  <si>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</si>
  <si>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</si>
  <si>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</si>
  <si>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</si>
  <si>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</si>
  <si>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</si>
  <si>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</si>
  <si>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</si>
  <si>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</si>
  <si>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</si>
  <si>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</si>
  <si>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</si>
  <si>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</si>
  <si>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</si>
  <si>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</si>
  <si>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</si>
  <si>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</si>
  <si>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</si>
  <si>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</si>
  <si>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</si>
  <si>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</si>
  <si>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</si>
  <si>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</si>
  <si>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</si>
  <si>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</si>
  <si>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</si>
  <si>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</si>
  <si>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</si>
  <si>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</si>
  <si>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</si>
  <si>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</si>
  <si>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</si>
  <si>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</si>
  <si>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</si>
  <si>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</si>
  <si>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</si>
  <si>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</si>
  <si>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</si>
  <si>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</si>
  <si>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</si>
  <si>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</si>
  <si>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</si>
  <si>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</si>
  <si>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</si>
  <si>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</si>
  <si>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</si>
  <si>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</si>
  <si>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</si>
  <si>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</si>
  <si>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</si>
  <si>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</si>
  <si>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</si>
  <si>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</si>
  <si>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</si>
  <si>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</si>
  <si>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</si>
  <si>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</si>
  <si>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</si>
  <si>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</si>
  <si>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</si>
  <si>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</si>
  <si>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</si>
  <si>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</si>
  <si>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</si>
  <si>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</si>
  <si>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</si>
  <si>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</si>
  <si>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</si>
  <si>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</si>
  <si>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</si>
  <si>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</si>
  <si>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</si>
  <si>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</si>
  <si>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</si>
  <si>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</si>
  <si>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</si>
  <si>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</si>
  <si>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</si>
  <si>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</si>
  <si>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</si>
  <si>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</si>
  <si>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</si>
  <si>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</si>
  <si>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</si>
  <si>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</si>
  <si>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</si>
  <si>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</si>
  <si>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</si>
  <si>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</si>
  <si>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</si>
  <si>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</si>
  <si>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</si>
  <si>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</si>
  <si>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</si>
  <si>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</si>
  <si>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</si>
  <si>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</si>
  <si>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</si>
  <si>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</si>
  <si>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</si>
  <si>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</si>
  <si>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</si>
  <si>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</si>
  <si>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</si>
  <si>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</si>
  <si>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</si>
  <si>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</si>
  <si>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</si>
  <si>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</si>
  <si>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</si>
  <si>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</si>
  <si>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</si>
  <si>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</si>
  <si>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</si>
  <si>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</si>
  <si>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</si>
  <si>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</si>
  <si>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</si>
  <si>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</si>
  <si>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</si>
  <si>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</si>
  <si>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</si>
  <si>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</si>
  <si>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</si>
  <si>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</si>
  <si>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</si>
  <si>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</si>
  <si>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</si>
  <si>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</si>
  <si>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</si>
  <si>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</si>
  <si>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</si>
  <si>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</si>
  <si>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</si>
  <si>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</si>
  <si>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</si>
  <si>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</si>
  <si>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</si>
  <si>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</si>
  <si>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</si>
  <si>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</si>
  <si>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</si>
  <si>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</si>
  <si>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</si>
  <si>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</si>
  <si>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</si>
  <si>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</si>
  <si>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</si>
  <si>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</si>
  <si>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</si>
  <si>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</si>
  <si>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</si>
  <si>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</si>
  <si>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</si>
  <si>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</si>
  <si>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</si>
  <si>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</si>
  <si>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</si>
  <si>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</si>
  <si>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</si>
  <si>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</si>
  <si>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</si>
  <si>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</si>
  <si>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</si>
  <si>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</si>
  <si>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</si>
  <si>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</si>
  <si>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</si>
  <si>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</si>
  <si>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</si>
  <si>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</si>
  <si>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</si>
  <si>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</si>
  <si>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</si>
  <si>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</si>
  <si>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</si>
  <si>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</si>
  <si>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</si>
  <si>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</si>
  <si>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</si>
  <si>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</si>
  <si>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</si>
  <si>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</si>
  <si>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</si>
  <si>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</si>
  <si>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</si>
  <si>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</si>
  <si>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</si>
  <si>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</si>
  <si>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</si>
  <si>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</si>
  <si>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</si>
  <si>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</si>
  <si>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</si>
  <si>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</si>
  <si>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</si>
  <si>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</si>
  <si>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</si>
  <si>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</si>
  <si>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</si>
  <si>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</si>
  <si>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</si>
  <si>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</si>
  <si>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</si>
  <si>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</si>
  <si>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</si>
  <si>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</si>
  <si>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</si>
  <si>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</si>
  <si>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</si>
  <si>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</si>
  <si>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</si>
  <si>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</si>
  <si>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</si>
  <si>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</si>
  <si>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</si>
  <si>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</si>
  <si>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</si>
  <si>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</si>
  <si>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</si>
  <si>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</si>
  <si>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</si>
  <si>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</si>
  <si>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</si>
  <si>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</si>
  <si>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</si>
  <si>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</si>
  <si>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</si>
  <si>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</si>
  <si>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</si>
  <si>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</si>
  <si>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</si>
  <si>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</si>
  <si>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</si>
  <si>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</si>
  <si>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</si>
  <si>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</si>
  <si>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</si>
  <si>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</si>
  <si>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</si>
  <si>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</si>
  <si>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</si>
  <si>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</si>
  <si>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</si>
  <si>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</si>
  <si>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</si>
  <si>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</si>
  <si>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</si>
  <si>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</si>
  <si>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</si>
  <si>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</si>
  <si>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</si>
  <si>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</si>
  <si>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</si>
  <si>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</si>
  <si>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</si>
  <si>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</si>
  <si>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</si>
  <si>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</si>
  <si>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</si>
  <si>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</si>
  <si>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</si>
  <si>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</si>
  <si>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</si>
  <si>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</si>
  <si>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</si>
  <si>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</si>
  <si>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</si>
  <si>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</si>
  <si>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</si>
  <si>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</si>
  <si>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</si>
  <si>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</si>
  <si>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</si>
  <si>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</si>
  <si>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</si>
  <si>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</si>
  <si>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</si>
  <si>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</si>
  <si>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</si>
  <si>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</si>
  <si>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</si>
  <si>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</si>
  <si>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</si>
  <si>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</si>
  <si>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</si>
  <si>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</si>
  <si>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</si>
  <si>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</si>
  <si>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</si>
  <si>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</si>
  <si>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</si>
  <si>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</si>
  <si>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</si>
  <si>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</si>
  <si>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</si>
  <si>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</si>
  <si>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</si>
  <si>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</si>
  <si>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</si>
  <si>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</si>
  <si>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</si>
  <si>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</si>
  <si>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</si>
  <si>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</si>
  <si>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</si>
  <si>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</si>
  <si>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</si>
  <si>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</si>
  <si>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</si>
  <si>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</si>
  <si>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</si>
  <si>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</si>
  <si>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</si>
  <si>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</si>
  <si>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</si>
  <si>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</si>
  <si>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</si>
  <si>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</si>
  <si>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</si>
  <si>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</si>
  <si>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 xml:space="preserve">АО "Березниковский содовый завод"</t>
  </si>
  <si>
    <t>5911013780</t>
  </si>
  <si>
    <t>424950001</t>
  </si>
  <si>
    <t>26513617</t>
  </si>
  <si>
    <t xml:space="preserve">АО "Верещагинский ПРМЗ "Ремпутьмаш"</t>
  </si>
  <si>
    <t>5933003898</t>
  </si>
  <si>
    <t>590150001</t>
  </si>
  <si>
    <t xml:space="preserve">06-10-2005 00:00:00</t>
  </si>
  <si>
    <t>26513989</t>
  </si>
  <si>
    <t xml:space="preserve">АО "ГАЗПРОМ БЫТОВЫЕ СИСТЕМЫ"</t>
  </si>
  <si>
    <t>7709014944</t>
  </si>
  <si>
    <t>592002001</t>
  </si>
  <si>
    <t xml:space="preserve">17-06-2003 00:00:00</t>
  </si>
  <si>
    <t>26383143</t>
  </si>
  <si>
    <t xml:space="preserve">АО "ГАЗПРОМ ГАЗОРАСПРЕДЕЛЕНИЕ ПЕРМЬ"</t>
  </si>
  <si>
    <t>5902183841</t>
  </si>
  <si>
    <t>590201001</t>
  </si>
  <si>
    <t>26506307</t>
  </si>
  <si>
    <t xml:space="preserve">АО "ГАЛОПОЛИМЕР ПЕРМЬ"</t>
  </si>
  <si>
    <t>5908007560</t>
  </si>
  <si>
    <t>590801001</t>
  </si>
  <si>
    <t xml:space="preserve">17-03-2011 00:00:00</t>
  </si>
  <si>
    <t>30407160</t>
  </si>
  <si>
    <t xml:space="preserve">АО "ГУ ЖКХ"</t>
  </si>
  <si>
    <t>5116000922</t>
  </si>
  <si>
    <t>183845001</t>
  </si>
  <si>
    <t>27573372</t>
  </si>
  <si>
    <t xml:space="preserve">АО "КЫНОВСКОЙ ЛПХ"</t>
  </si>
  <si>
    <t>5918000980</t>
  </si>
  <si>
    <t>591801001</t>
  </si>
  <si>
    <t xml:space="preserve">21-10-1992 00:00:00</t>
  </si>
  <si>
    <t>27620989</t>
  </si>
  <si>
    <t xml:space="preserve">АО "Камтэкс-Химпром"</t>
  </si>
  <si>
    <t>5907016890</t>
  </si>
  <si>
    <t>590701001</t>
  </si>
  <si>
    <t xml:space="preserve">28-09-1998 00:00:00</t>
  </si>
  <si>
    <t>26505575</t>
  </si>
  <si>
    <t xml:space="preserve">АО "Международный Аэропорт "Пермь", АО "МАП"</t>
  </si>
  <si>
    <t>5948043928</t>
  </si>
  <si>
    <t>594801001</t>
  </si>
  <si>
    <t>31743291</t>
  </si>
  <si>
    <t xml:space="preserve">АО "НАУЧНО-ПРОИЗВОДСТВЕННОЕ ОБЪЕДИНЕНИЕ "КУРГАНПРИБОР"</t>
  </si>
  <si>
    <t>4501129676</t>
  </si>
  <si>
    <t>450101001</t>
  </si>
  <si>
    <t>26506080</t>
  </si>
  <si>
    <t xml:space="preserve">АО "НОВОМЕТ-ПЕРМЬ"</t>
  </si>
  <si>
    <t>5904002096</t>
  </si>
  <si>
    <t>590501001</t>
  </si>
  <si>
    <t xml:space="preserve">10-05-2001 00:00:00</t>
  </si>
  <si>
    <t>26508441</t>
  </si>
  <si>
    <t xml:space="preserve">АО "ПЕРМСКИЙ ЗАВОД "МАШИНОСТРОИТЕЛЬ"</t>
  </si>
  <si>
    <t>5906075029</t>
  </si>
  <si>
    <t xml:space="preserve">29-06-2007 00:00:00</t>
  </si>
  <si>
    <t>31445910</t>
  </si>
  <si>
    <t xml:space="preserve">АО "ПЕРМСКИЙ МУКОМОЛЬНЫЙ ЗАВОД"</t>
  </si>
  <si>
    <t>5903003690</t>
  </si>
  <si>
    <t>590301001</t>
  </si>
  <si>
    <t>26513185</t>
  </si>
  <si>
    <t xml:space="preserve">АО "ПЗСП"</t>
  </si>
  <si>
    <t>5903004541</t>
  </si>
  <si>
    <t>26506225</t>
  </si>
  <si>
    <t xml:space="preserve">АО "ПРОТОН-ПМ"</t>
  </si>
  <si>
    <t>5904006044</t>
  </si>
  <si>
    <t>590401001</t>
  </si>
  <si>
    <t>31315436</t>
  </si>
  <si>
    <t xml:space="preserve">АО "Первая грузовая компания"</t>
  </si>
  <si>
    <t>7725806898</t>
  </si>
  <si>
    <t>590545001</t>
  </si>
  <si>
    <t>26513562</t>
  </si>
  <si>
    <t xml:space="preserve">АО "Пермский свинокомплекс"</t>
  </si>
  <si>
    <t>5916022234</t>
  </si>
  <si>
    <t>591601001</t>
  </si>
  <si>
    <t xml:space="preserve">02-03-2009 00:00:00</t>
  </si>
  <si>
    <t>26513570</t>
  </si>
  <si>
    <t xml:space="preserve">АО "Пермтрансжелезобетон"</t>
  </si>
  <si>
    <t>5916000030</t>
  </si>
  <si>
    <t xml:space="preserve">16-10-1992 00:00:00</t>
  </si>
  <si>
    <t>26506331</t>
  </si>
  <si>
    <t xml:space="preserve">АО "САН ИнБев"</t>
  </si>
  <si>
    <t>5020037784</t>
  </si>
  <si>
    <t>502001001</t>
  </si>
  <si>
    <t xml:space="preserve">02-03-2004 00:00:00</t>
  </si>
  <si>
    <t>26506227</t>
  </si>
  <si>
    <t xml:space="preserve">АО "СИБУР-ХИМПРОМ"</t>
  </si>
  <si>
    <t>5905018998</t>
  </si>
  <si>
    <t>26513187</t>
  </si>
  <si>
    <t xml:space="preserve">АО "Сорбент"</t>
  </si>
  <si>
    <t>5908001417</t>
  </si>
  <si>
    <t xml:space="preserve">07-12-1993 00:00:00</t>
  </si>
  <si>
    <t>26771953</t>
  </si>
  <si>
    <t xml:space="preserve">АО "СтройПанельКомплект"</t>
  </si>
  <si>
    <t>5904006358</t>
  </si>
  <si>
    <t>26506325</t>
  </si>
  <si>
    <t xml:space="preserve">АО "УРАЛОРГСИНТЕЗ"</t>
  </si>
  <si>
    <t>5920014645</t>
  </si>
  <si>
    <t>592001001</t>
  </si>
  <si>
    <t xml:space="preserve">20-11-1998 00:00:00</t>
  </si>
  <si>
    <t>26572663</t>
  </si>
  <si>
    <t xml:space="preserve">АО "ФПК"</t>
  </si>
  <si>
    <t>7708709686</t>
  </si>
  <si>
    <t>997650001</t>
  </si>
  <si>
    <t xml:space="preserve">03-12-2009 00:00:00</t>
  </si>
  <si>
    <t>26513588</t>
  </si>
  <si>
    <t xml:space="preserve">АО "Чусовской металлургический завод"</t>
  </si>
  <si>
    <t>5921002018</t>
  </si>
  <si>
    <t>592101001</t>
  </si>
  <si>
    <t xml:space="preserve">10-08-1992 00:00:00</t>
  </si>
  <si>
    <t>26508508</t>
  </si>
  <si>
    <t xml:space="preserve">АО "ЭНЕРГЕТИК-ПМ"</t>
  </si>
  <si>
    <t>5904007390</t>
  </si>
  <si>
    <t>28257083</t>
  </si>
  <si>
    <t xml:space="preserve">АО «Держава-М»</t>
  </si>
  <si>
    <t>5904003702</t>
  </si>
  <si>
    <t>30794229</t>
  </si>
  <si>
    <t xml:space="preserve">Акционерное общество "ОМК Стальной путь"</t>
  </si>
  <si>
    <t>7708737500</t>
  </si>
  <si>
    <t>593345001</t>
  </si>
  <si>
    <t>27567057</t>
  </si>
  <si>
    <t xml:space="preserve">Акционерное общество "Ремонтно-эксплуатационное управление" филиал "Екатеринбургский", г. Екатеринбург</t>
  </si>
  <si>
    <t>7714783092</t>
  </si>
  <si>
    <t>667243001</t>
  </si>
  <si>
    <t>26813272</t>
  </si>
  <si>
    <t xml:space="preserve">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</si>
  <si>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</si>
  <si>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</si>
  <si>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</si>
  <si>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 xml:space="preserve">Акционерное общество "Серовский завод ферросплавов", г.Серов</t>
  </si>
  <si>
    <t>6632001031</t>
  </si>
  <si>
    <t>997550001</t>
  </si>
  <si>
    <t>28985390</t>
  </si>
  <si>
    <t xml:space="preserve">ГБПОУ "КПТ"</t>
  </si>
  <si>
    <t>5915000527</t>
  </si>
  <si>
    <t>591101001</t>
  </si>
  <si>
    <t>30866002</t>
  </si>
  <si>
    <t xml:space="preserve">ГБУЗ ПК "Чердынская РБ"</t>
  </si>
  <si>
    <t>5919025096</t>
  </si>
  <si>
    <t>591901001</t>
  </si>
  <si>
    <t xml:space="preserve">13-01-2017 00:00:00</t>
  </si>
  <si>
    <t>26513209</t>
  </si>
  <si>
    <t xml:space="preserve">ЖСК №43</t>
  </si>
  <si>
    <t>5907010017</t>
  </si>
  <si>
    <t>31663232</t>
  </si>
  <si>
    <t xml:space="preserve">ЗАО "КУРОРТ КЛЮЧИ"</t>
  </si>
  <si>
    <t>5951001445</t>
  </si>
  <si>
    <t>595101001</t>
  </si>
  <si>
    <t>26513715</t>
  </si>
  <si>
    <t xml:space="preserve">ЗАО "Кунгурская ПМК-2"</t>
  </si>
  <si>
    <t>5940200456</t>
  </si>
  <si>
    <t>591701001</t>
  </si>
  <si>
    <t xml:space="preserve">08-06-1998 00:00:00</t>
  </si>
  <si>
    <t>26512518</t>
  </si>
  <si>
    <t xml:space="preserve">ЗАО "Курорт "Усть-Качка"</t>
  </si>
  <si>
    <t>5948001710</t>
  </si>
  <si>
    <t xml:space="preserve">21-01-2002 00:00:00</t>
  </si>
  <si>
    <t>31522515</t>
  </si>
  <si>
    <t xml:space="preserve">ИП Айрих Александр Анатольевич</t>
  </si>
  <si>
    <t>590502834339</t>
  </si>
  <si>
    <t>31161109</t>
  </si>
  <si>
    <t xml:space="preserve">ИП Варушкин Лев Игоревич</t>
  </si>
  <si>
    <t>590424576864</t>
  </si>
  <si>
    <t xml:space="preserve">28-12-2017 00:00:00</t>
  </si>
  <si>
    <t>31268013</t>
  </si>
  <si>
    <t xml:space="preserve">ИП Вотинов Анатолий Васильевич</t>
  </si>
  <si>
    <t>593601854821</t>
  </si>
  <si>
    <t>28877212</t>
  </si>
  <si>
    <t xml:space="preserve">ИП Созонов А.Г.</t>
  </si>
  <si>
    <t>810600007060</t>
  </si>
  <si>
    <t>26513871</t>
  </si>
  <si>
    <t xml:space="preserve">ИП Якупов Семен Анатольевич</t>
  </si>
  <si>
    <t>591904020317</t>
  </si>
  <si>
    <t>26513280</t>
  </si>
  <si>
    <t xml:space="preserve">ИТЦ - филиал ООО «Газпром трансгаз Чайковский»</t>
  </si>
  <si>
    <t>5920000593</t>
  </si>
  <si>
    <t>26508525</t>
  </si>
  <si>
    <t xml:space="preserve">КГМУП "ВОДОКАНАЛ"</t>
  </si>
  <si>
    <t>5917100213</t>
  </si>
  <si>
    <t>28499910</t>
  </si>
  <si>
    <t xml:space="preserve">КУП ЖКХ ЧАЙКОВСКОГО ГОРОДСКОГО ОКРУГА</t>
  </si>
  <si>
    <t>5920042410</t>
  </si>
  <si>
    <t>26513710</t>
  </si>
  <si>
    <t xml:space="preserve">Кишертское МУП "Теплоэнерго"</t>
  </si>
  <si>
    <t>5938123483</t>
  </si>
  <si>
    <t>593801001</t>
  </si>
  <si>
    <t xml:space="preserve">04-10-2002 00:00:00</t>
  </si>
  <si>
    <t>31492150</t>
  </si>
  <si>
    <t xml:space="preserve">МАДОУ "Чердынский детский сад"</t>
  </si>
  <si>
    <t>5919030434</t>
  </si>
  <si>
    <t>31034291</t>
  </si>
  <si>
    <t xml:space="preserve">МАОУ "Белоевская ОШИ для обучающихся с ОВЗ"</t>
  </si>
  <si>
    <t>8101002023</t>
  </si>
  <si>
    <t>810101001</t>
  </si>
  <si>
    <t xml:space="preserve">09-01-2018 00:00:00</t>
  </si>
  <si>
    <t>26513869</t>
  </si>
  <si>
    <t xml:space="preserve">МАОУ "Керчевская средняя общеобразовательная школа"</t>
  </si>
  <si>
    <t>5956003750</t>
  </si>
  <si>
    <t>30917813</t>
  </si>
  <si>
    <t xml:space="preserve">МАОУ "Ленинская средняя общеобразовательная школа"</t>
  </si>
  <si>
    <t>8101004863</t>
  </si>
  <si>
    <t xml:space="preserve">26-05-2017 00:00:00</t>
  </si>
  <si>
    <t>30879163</t>
  </si>
  <si>
    <t xml:space="preserve">МАОУ "Рябининская средняя общеобразовательная школа"</t>
  </si>
  <si>
    <t>5956003767</t>
  </si>
  <si>
    <t xml:space="preserve">06-02-2017 00:00:00</t>
  </si>
  <si>
    <t>31398409</t>
  </si>
  <si>
    <t xml:space="preserve">МАОУ "СОШ" Р.П.ТЕПЛАЯ ГОРА</t>
  </si>
  <si>
    <t>5934040613</t>
  </si>
  <si>
    <t>593401001</t>
  </si>
  <si>
    <t>30400871</t>
  </si>
  <si>
    <t xml:space="preserve">МБОУ "Гайнская средняя общеобразовательная школа"</t>
  </si>
  <si>
    <t>8106001954</t>
  </si>
  <si>
    <t>810601001</t>
  </si>
  <si>
    <t xml:space="preserve">18-12-2002 00:00:00</t>
  </si>
  <si>
    <t>31595853</t>
  </si>
  <si>
    <t xml:space="preserve">МБОУ "КОСИНСКАЯ СОШ"</t>
  </si>
  <si>
    <t>8105000620</t>
  </si>
  <si>
    <t>810501001</t>
  </si>
  <si>
    <t>26771956</t>
  </si>
  <si>
    <t xml:space="preserve">МБОУ "Лесокамочка"</t>
  </si>
  <si>
    <t>8106000781</t>
  </si>
  <si>
    <t>31422370</t>
  </si>
  <si>
    <t xml:space="preserve">МБОУ ГРИГОРЬЕВСКАЯ СОШ</t>
  </si>
  <si>
    <t>5942002788</t>
  </si>
  <si>
    <t>594201001</t>
  </si>
  <si>
    <t>31556127</t>
  </si>
  <si>
    <t xml:space="preserve">МБТУ "ГАЙНЫАВТОТРАНС"</t>
  </si>
  <si>
    <t>5981009593</t>
  </si>
  <si>
    <t>598101001</t>
  </si>
  <si>
    <t>30394094</t>
  </si>
  <si>
    <t xml:space="preserve">МБУ "Благоустройство" (ИНН 5918840203)</t>
  </si>
  <si>
    <t>5918840203</t>
  </si>
  <si>
    <t xml:space="preserve">01-06-2009 00:00:00</t>
  </si>
  <si>
    <t>30425149</t>
  </si>
  <si>
    <t xml:space="preserve">МБУ "ЖКХ"</t>
  </si>
  <si>
    <t>5918005604</t>
  </si>
  <si>
    <t xml:space="preserve">07-07-2011 00:00:00</t>
  </si>
  <si>
    <t>31267258</t>
  </si>
  <si>
    <t xml:space="preserve">МБУ "КОММУНАЛ"</t>
  </si>
  <si>
    <t>5919014150</t>
  </si>
  <si>
    <t xml:space="preserve">01-02-2011 00:00:00</t>
  </si>
  <si>
    <t>27976208</t>
  </si>
  <si>
    <t xml:space="preserve">МБУ "Керчевское коммунальное хозяйство"</t>
  </si>
  <si>
    <t>5919019663</t>
  </si>
  <si>
    <t xml:space="preserve">31-01-2012 00:00:00</t>
  </si>
  <si>
    <t>28983444</t>
  </si>
  <si>
    <t xml:space="preserve">МБУ "Ныроб-благоустройство"</t>
  </si>
  <si>
    <t>5919023290</t>
  </si>
  <si>
    <t xml:space="preserve">18-12-2013 00:00:00</t>
  </si>
  <si>
    <t>31511435</t>
  </si>
  <si>
    <t xml:space="preserve">МБУ "Рябининское"</t>
  </si>
  <si>
    <t>5919030882</t>
  </si>
  <si>
    <t>31421339</t>
  </si>
  <si>
    <t xml:space="preserve">МБУ "Сервисный центр Кудымкарского муниципального округа Пермского края"</t>
  </si>
  <si>
    <t>5981007941</t>
  </si>
  <si>
    <t>31343547</t>
  </si>
  <si>
    <t xml:space="preserve">МБУ "Тепловые сети "Углеуральский"</t>
  </si>
  <si>
    <t>5921035912</t>
  </si>
  <si>
    <t>31456103</t>
  </si>
  <si>
    <t xml:space="preserve">МБУ "УГХ", МБУ "УПРАВЛЕНИЕ ГОРОДСКОГО ХОЗЯЙСТВА"</t>
  </si>
  <si>
    <t>5914020760</t>
  </si>
  <si>
    <t>591401001</t>
  </si>
  <si>
    <t>31220898</t>
  </si>
  <si>
    <t xml:space="preserve">МБУ "Универсал"</t>
  </si>
  <si>
    <t>5981007211</t>
  </si>
  <si>
    <t xml:space="preserve">06-02-2018 00:00:00</t>
  </si>
  <si>
    <t>30836156</t>
  </si>
  <si>
    <t xml:space="preserve">МБУ "ЦОДМУ"</t>
  </si>
  <si>
    <t>5919021214</t>
  </si>
  <si>
    <t xml:space="preserve">06-09-2016 00:00:00</t>
  </si>
  <si>
    <t>31315785</t>
  </si>
  <si>
    <t xml:space="preserve">МБУ "ЮРЛИНСКОЕ ЖКХ"</t>
  </si>
  <si>
    <t>5981006602</t>
  </si>
  <si>
    <t xml:space="preserve">МИНИСТЕРСТВО ТАРИФНОГО РЕГУЛИРОВАНИЯ И ЭНЕРГЕТИКИ ПЕРМСКОГО КРАЯ</t>
  </si>
  <si>
    <t>5902184588</t>
  </si>
  <si>
    <t>28982370</t>
  </si>
  <si>
    <t xml:space="preserve">МКП "ТЕПЛОВОД"</t>
  </si>
  <si>
    <t>5921031788</t>
  </si>
  <si>
    <t xml:space="preserve">28-04-2015 00:00:00</t>
  </si>
  <si>
    <t>27735033</t>
  </si>
  <si>
    <t xml:space="preserve">МКП ВВГП "Вильва-Водоканал"</t>
  </si>
  <si>
    <t>5911066936</t>
  </si>
  <si>
    <t>31391154</t>
  </si>
  <si>
    <t xml:space="preserve">МКУ "Красновишерское жилищно-коммунальное хозяйство"</t>
  </si>
  <si>
    <t>5919029950</t>
  </si>
  <si>
    <t>31299902</t>
  </si>
  <si>
    <t xml:space="preserve">МКУ "УПРАВЛЕНИЕ ИНФРАСТРУКТУРОЙ И БЛАГОУСТРОЙСТВОМ ЮГОВСКОГО ТЕРРИТОРИАЛЬНОГО ОРГАНА"</t>
  </si>
  <si>
    <t>5948057751</t>
  </si>
  <si>
    <t>31269250</t>
  </si>
  <si>
    <t xml:space="preserve">МКУ «ЖКХ и благоустройство Сылвенского сельского поселения»</t>
  </si>
  <si>
    <t>5948057060</t>
  </si>
  <si>
    <t>30429672</t>
  </si>
  <si>
    <t xml:space="preserve">МКУ «Управление ЖКХ и земельно-имущественных отношений Кукуштанского сельского поселения»</t>
  </si>
  <si>
    <t>5948046485</t>
  </si>
  <si>
    <t xml:space="preserve">11-03-2015 00:00:00</t>
  </si>
  <si>
    <t>30869326</t>
  </si>
  <si>
    <t xml:space="preserve">МКУ Юсьвинского муниципального округа Пермского края «Единый сервисный центр»</t>
  </si>
  <si>
    <t>5981005260</t>
  </si>
  <si>
    <t xml:space="preserve">18-01-2017 00:00:00</t>
  </si>
  <si>
    <t>26513906</t>
  </si>
  <si>
    <t xml:space="preserve">МП "Тепловые сети"</t>
  </si>
  <si>
    <t>5957403849</t>
  </si>
  <si>
    <t>595701001</t>
  </si>
  <si>
    <t xml:space="preserve">09-12-2003 00:00:00</t>
  </si>
  <si>
    <t>26512417</t>
  </si>
  <si>
    <t xml:space="preserve">МП "Теплоплюс"</t>
  </si>
  <si>
    <t>5945006205</t>
  </si>
  <si>
    <t>594501001</t>
  </si>
  <si>
    <t xml:space="preserve">14-01-2003 00:00:00</t>
  </si>
  <si>
    <t>26513615</t>
  </si>
  <si>
    <t xml:space="preserve">МУП "Верещагинские тепловые сети"</t>
  </si>
  <si>
    <t>5933200180</t>
  </si>
  <si>
    <t>593301001</t>
  </si>
  <si>
    <t>28236726</t>
  </si>
  <si>
    <t xml:space="preserve">МУП "Водоканал "Еловский"</t>
  </si>
  <si>
    <t>5944205529</t>
  </si>
  <si>
    <t>594401001</t>
  </si>
  <si>
    <t>31315422</t>
  </si>
  <si>
    <t xml:space="preserve">МУП "Водоканал г. Березники"</t>
  </si>
  <si>
    <t>5911028225</t>
  </si>
  <si>
    <t>31267242</t>
  </si>
  <si>
    <t xml:space="preserve">МУП "Гарант" Краснокамского городского округа</t>
  </si>
  <si>
    <t>5916034381</t>
  </si>
  <si>
    <t>26513580</t>
  </si>
  <si>
    <t xml:space="preserve">МУП "Гортеплоэнерго"</t>
  </si>
  <si>
    <t>5921000765</t>
  </si>
  <si>
    <t xml:space="preserve">04-04-2008 00:00:00</t>
  </si>
  <si>
    <t>30375521</t>
  </si>
  <si>
    <t xml:space="preserve">МУП "ДВУРЕЧЬЕ"</t>
  </si>
  <si>
    <t>5948047979</t>
  </si>
  <si>
    <t xml:space="preserve">14-08-2015 00:00:00</t>
  </si>
  <si>
    <t>26513863</t>
  </si>
  <si>
    <t xml:space="preserve">МУП "ЖКХ Восход"</t>
  </si>
  <si>
    <t>5947017097</t>
  </si>
  <si>
    <t>594701001</t>
  </si>
  <si>
    <t xml:space="preserve">13-09-2007 00:00:00</t>
  </si>
  <si>
    <t>26511601</t>
  </si>
  <si>
    <t xml:space="preserve">МУП "ЖКХ Комсомольское"</t>
  </si>
  <si>
    <t>5917594890</t>
  </si>
  <si>
    <t xml:space="preserve">27-12-2006 00:00:00</t>
  </si>
  <si>
    <t>31038846</t>
  </si>
  <si>
    <t xml:space="preserve">МУП "ЖКХ пос. Чайковская"</t>
  </si>
  <si>
    <t>5916016030</t>
  </si>
  <si>
    <t xml:space="preserve">31-01-2018 00:00:00</t>
  </si>
  <si>
    <t>26512374</t>
  </si>
  <si>
    <t xml:space="preserve">МУП "ЖКХ" ЧЕКМЕНЕВСКОЕ НЫТВЕНСКОГО МУНИЦИПАЛЬНОГО РАЙОНА ПЕРМСКОГО КРАЯ</t>
  </si>
  <si>
    <t>5916017227</t>
  </si>
  <si>
    <t xml:space="preserve">30-05-2006 00:00:00</t>
  </si>
  <si>
    <t>26512380</t>
  </si>
  <si>
    <t xml:space="preserve">МУП "ЖКХ" с.Шерья</t>
  </si>
  <si>
    <t>5916016022</t>
  </si>
  <si>
    <t xml:space="preserve">21-02-2024 00:00:00</t>
  </si>
  <si>
    <t>29645442</t>
  </si>
  <si>
    <t xml:space="preserve">МУП "Забота"</t>
  </si>
  <si>
    <t>5951898627</t>
  </si>
  <si>
    <t>31232062</t>
  </si>
  <si>
    <t xml:space="preserve">МУП "Зюкайка ЖКХ"</t>
  </si>
  <si>
    <t>5933011218</t>
  </si>
  <si>
    <t>26513968</t>
  </si>
  <si>
    <t xml:space="preserve">МУП "КЭС"</t>
  </si>
  <si>
    <t>5910002400</t>
  </si>
  <si>
    <t>30864713</t>
  </si>
  <si>
    <t xml:space="preserve">МУП "Коммунальное хозяйство"</t>
  </si>
  <si>
    <t>5921997959</t>
  </si>
  <si>
    <t xml:space="preserve">12-01-2017 00:00:00</t>
  </si>
  <si>
    <t>30997840</t>
  </si>
  <si>
    <t xml:space="preserve">МУП "Комунальное хозяйство "Комфорт"</t>
  </si>
  <si>
    <t>5933010831</t>
  </si>
  <si>
    <t xml:space="preserve">04-12-2017 00:00:00</t>
  </si>
  <si>
    <t>26512399</t>
  </si>
  <si>
    <t xml:space="preserve">МУП "Комфорт"</t>
  </si>
  <si>
    <t>5951043188</t>
  </si>
  <si>
    <t xml:space="preserve">12-10-2006 00:00:00</t>
  </si>
  <si>
    <t>30893345</t>
  </si>
  <si>
    <t xml:space="preserve">МУП "Майский"</t>
  </si>
  <si>
    <t>5916032017</t>
  </si>
  <si>
    <t xml:space="preserve">14-09-2016 00:00:00</t>
  </si>
  <si>
    <t>31346250</t>
  </si>
  <si>
    <t xml:space="preserve">МУП "НОВОИЛЬИНСКИЙ КОММУНАЛЬНЫЙ СЕРВИС" МУНИЦИПАЛЬНОГО ОБРАЗОВАНИЯ "НЫТВЕНСКИЙ ГОРОДСКОЙ ОКРУГ"</t>
  </si>
  <si>
    <t>5916035096</t>
  </si>
  <si>
    <t>30796132</t>
  </si>
  <si>
    <t xml:space="preserve">МУП "Овер-Гарант"</t>
  </si>
  <si>
    <t>5916029670</t>
  </si>
  <si>
    <t xml:space="preserve">10-07-2015 00:00:00</t>
  </si>
  <si>
    <t xml:space="preserve">22-02-2024 00:00:00</t>
  </si>
  <si>
    <t>26511522</t>
  </si>
  <si>
    <t xml:space="preserve">МУП "СЕПЫЧЕВСКИЙ КЖКХ"</t>
  </si>
  <si>
    <t>5933005704</t>
  </si>
  <si>
    <t>26511595</t>
  </si>
  <si>
    <t xml:space="preserve">МУП "Старо-Шагиртское ЖКХ"</t>
  </si>
  <si>
    <t>5957001219</t>
  </si>
  <si>
    <t xml:space="preserve">16-05-2005 00:00:00</t>
  </si>
  <si>
    <t>26512530</t>
  </si>
  <si>
    <t xml:space="preserve">МУП "Суксунская коммунальная служба"</t>
  </si>
  <si>
    <t>5951006838</t>
  </si>
  <si>
    <t xml:space="preserve">04-06-2004 00:00:00</t>
  </si>
  <si>
    <t>26511365</t>
  </si>
  <si>
    <t xml:space="preserve">МУП "ТЕПЛОЭНЕРГО"</t>
  </si>
  <si>
    <t>5944202503</t>
  </si>
  <si>
    <t xml:space="preserve">01-12-2003 00:00:00</t>
  </si>
  <si>
    <t>26513818</t>
  </si>
  <si>
    <t xml:space="preserve">МУП "Тепловые сети"</t>
  </si>
  <si>
    <t>5944090155</t>
  </si>
  <si>
    <t>27910380</t>
  </si>
  <si>
    <t xml:space="preserve">МУП "Теплогорский ТЭК"</t>
  </si>
  <si>
    <t>5921029370</t>
  </si>
  <si>
    <t xml:space="preserve">15-08-2012 00:00:00</t>
  </si>
  <si>
    <t>26512327</t>
  </si>
  <si>
    <t xml:space="preserve">МУП "Теплосеть"</t>
  </si>
  <si>
    <t>5916024143</t>
  </si>
  <si>
    <t xml:space="preserve">18-05-2010 00:00:00</t>
  </si>
  <si>
    <t>31348642</t>
  </si>
  <si>
    <t xml:space="preserve">МУП "Теплоэнергетика"</t>
  </si>
  <si>
    <t>5911080761</t>
  </si>
  <si>
    <t>26802670</t>
  </si>
  <si>
    <t xml:space="preserve">МУП "Уинсктеплоэнерго"</t>
  </si>
  <si>
    <t>5953002701</t>
  </si>
  <si>
    <t>31616960</t>
  </si>
  <si>
    <t xml:space="preserve">МУП "ЭНЕРГОСНАБЖЕНИЕ"</t>
  </si>
  <si>
    <t>5948065110</t>
  </si>
  <si>
    <t>26513843</t>
  </si>
  <si>
    <t xml:space="preserve">МУП "Энергетик"</t>
  </si>
  <si>
    <t>5948038702</t>
  </si>
  <si>
    <t xml:space="preserve">12-07-2010 00:00:00</t>
  </si>
  <si>
    <t>27980817</t>
  </si>
  <si>
    <t xml:space="preserve">МУП «ЖКХ "ШАДЕЙСКОЕ"</t>
  </si>
  <si>
    <t>5917000709</t>
  </si>
  <si>
    <t>31344313</t>
  </si>
  <si>
    <t xml:space="preserve">МУП «Коммунальные тепловые сети»</t>
  </si>
  <si>
    <t>5915001129</t>
  </si>
  <si>
    <t>31222533</t>
  </si>
  <si>
    <t xml:space="preserve">МУП Гремячинского городского округа "Энергетик"</t>
  </si>
  <si>
    <t>5921035126</t>
  </si>
  <si>
    <t>26512544</t>
  </si>
  <si>
    <t xml:space="preserve">МУП ЖКХ "Гарант"</t>
  </si>
  <si>
    <t>5904082447</t>
  </si>
  <si>
    <t>26512538</t>
  </si>
  <si>
    <t xml:space="preserve">МУП ЖКХ "Факел"</t>
  </si>
  <si>
    <t>5955002457</t>
  </si>
  <si>
    <t>595501001</t>
  </si>
  <si>
    <t>27581498</t>
  </si>
  <si>
    <t xml:space="preserve">МУП ЖКХ пос. Уральский</t>
  </si>
  <si>
    <t>5942001689</t>
  </si>
  <si>
    <t>26511572</t>
  </si>
  <si>
    <t xml:space="preserve">МУП ИЛЬИНСКОГО ГОРОДСКОГО ОКРУГА "УК ВЕЛЕС"</t>
  </si>
  <si>
    <t>5907030581</t>
  </si>
  <si>
    <t>28112135</t>
  </si>
  <si>
    <t xml:space="preserve">МУУП "Теплоэнергоремонт"</t>
  </si>
  <si>
    <t>5918011573</t>
  </si>
  <si>
    <t>26512524</t>
  </si>
  <si>
    <t xml:space="preserve">Муниципальное унитарное предприятие "Жилищно-коммунальное хозяйство" Сивинского муниципального округа</t>
  </si>
  <si>
    <t>5949000074</t>
  </si>
  <si>
    <t xml:space="preserve">02-07-2003 00:00:00</t>
  </si>
  <si>
    <t>26506277</t>
  </si>
  <si>
    <t xml:space="preserve">ОАО  "ЦЕНТРАЛЬНЫЙ АГРОСНАБ"</t>
  </si>
  <si>
    <t>5903004238</t>
  </si>
  <si>
    <t xml:space="preserve">16-12-1992 00:00:00</t>
  </si>
  <si>
    <t>27505966</t>
  </si>
  <si>
    <t xml:space="preserve">ОАО "Вагонная ремонтная компания -3"</t>
  </si>
  <si>
    <t>770801001</t>
  </si>
  <si>
    <t>26809135</t>
  </si>
  <si>
    <t xml:space="preserve">ОАО "Добрянский ТЭК"</t>
  </si>
  <si>
    <t>5914019003</t>
  </si>
  <si>
    <t>26513213</t>
  </si>
  <si>
    <t xml:space="preserve">ОАО "Пермский МРЗ "Ремпутьмаш"</t>
  </si>
  <si>
    <t>5902197241</t>
  </si>
  <si>
    <t>29645580</t>
  </si>
  <si>
    <t xml:space="preserve">ОАО "СМЗ"</t>
  </si>
  <si>
    <t>5919470019</t>
  </si>
  <si>
    <t>30934154</t>
  </si>
  <si>
    <t xml:space="preserve">ОАО "Уралтеплосервис"</t>
  </si>
  <si>
    <t>5904009165</t>
  </si>
  <si>
    <t>26513183</t>
  </si>
  <si>
    <t xml:space="preserve">ОАО ПТЗ "Телта"</t>
  </si>
  <si>
    <t>5902250015</t>
  </si>
  <si>
    <t>770201001</t>
  </si>
  <si>
    <t xml:space="preserve">13-10-1992 00:00:00</t>
  </si>
  <si>
    <t>31618633</t>
  </si>
  <si>
    <t xml:space="preserve">ОБЩЕСТВО С ОГРАНИЧЕННОЙ ОТВЕТСТВЕННОСТЬЮ "ВЕКТОР"</t>
  </si>
  <si>
    <t>5981010422</t>
  </si>
  <si>
    <t>31615677</t>
  </si>
  <si>
    <t xml:space="preserve">ООО "АВИСМА"</t>
  </si>
  <si>
    <t>5911083593</t>
  </si>
  <si>
    <t>31600043</t>
  </si>
  <si>
    <t xml:space="preserve">ООО "АРМЕЙСКИЙ ОБОЗ"</t>
  </si>
  <si>
    <t>5906128680</t>
  </si>
  <si>
    <t>590601001</t>
  </si>
  <si>
    <t>27589135</t>
  </si>
  <si>
    <t xml:space="preserve">ООО "Алмаз"</t>
  </si>
  <si>
    <t>5921026234</t>
  </si>
  <si>
    <t>26511585</t>
  </si>
  <si>
    <t xml:space="preserve">ООО "Асто"</t>
  </si>
  <si>
    <t>5939006260</t>
  </si>
  <si>
    <t>593901001</t>
  </si>
  <si>
    <t xml:space="preserve">22-11-2002 00:00:00</t>
  </si>
  <si>
    <t>26513605</t>
  </si>
  <si>
    <t xml:space="preserve">ООО "Большесосновская служба заказчика"</t>
  </si>
  <si>
    <t>5947019859</t>
  </si>
  <si>
    <t xml:space="preserve">29-11-2005 00:00:00</t>
  </si>
  <si>
    <t>26511533</t>
  </si>
  <si>
    <t xml:space="preserve">ООО "ГОРНОЗАВОДСК-МИКРОТЭК"</t>
  </si>
  <si>
    <t>5921021483</t>
  </si>
  <si>
    <t>30351618</t>
  </si>
  <si>
    <t xml:space="preserve">ООО "ГРАНИТ"</t>
  </si>
  <si>
    <t>8107012067</t>
  </si>
  <si>
    <t>810701001</t>
  </si>
  <si>
    <t>28132021</t>
  </si>
  <si>
    <t xml:space="preserve">ООО "ГЭК"</t>
  </si>
  <si>
    <t>5904281731</t>
  </si>
  <si>
    <t>26513267</t>
  </si>
  <si>
    <t>5907035928</t>
  </si>
  <si>
    <t>28148429</t>
  </si>
  <si>
    <t xml:space="preserve">ООО "Газпром Трансгаз Чайковский"- филиал Горнозаводское ЛПУМГ</t>
  </si>
  <si>
    <t>593402001</t>
  </si>
  <si>
    <t>26553613</t>
  </si>
  <si>
    <t xml:space="preserve">ООО "Газпром теплоэнерго Киров"</t>
  </si>
  <si>
    <t>4345268905</t>
  </si>
  <si>
    <t>434501001</t>
  </si>
  <si>
    <t xml:space="preserve">19-09-2011 00:00:00</t>
  </si>
  <si>
    <t>28932394</t>
  </si>
  <si>
    <t xml:space="preserve">ООО "Гайнылес"</t>
  </si>
  <si>
    <t>5981002679</t>
  </si>
  <si>
    <t xml:space="preserve">29-01-2008 00:00:00</t>
  </si>
  <si>
    <t>26508536</t>
  </si>
  <si>
    <t xml:space="preserve">ООО "Гарант-М"</t>
  </si>
  <si>
    <t>5911053535</t>
  </si>
  <si>
    <t>26513663</t>
  </si>
  <si>
    <t xml:space="preserve">ООО "Гермес"</t>
  </si>
  <si>
    <t>5907033783</t>
  </si>
  <si>
    <t xml:space="preserve">28-06-2007 00:00:00</t>
  </si>
  <si>
    <t>27248113</t>
  </si>
  <si>
    <t xml:space="preserve">ООО "Глобалгазинвест"</t>
  </si>
  <si>
    <t>5905257040</t>
  </si>
  <si>
    <t>31391952</t>
  </si>
  <si>
    <t xml:space="preserve">ООО "Губахинская энергоснабжающая компания"</t>
  </si>
  <si>
    <t>5904645435</t>
  </si>
  <si>
    <t>31695711</t>
  </si>
  <si>
    <t xml:space="preserve">ООО "ДЕЛЬТА+"</t>
  </si>
  <si>
    <t>5981010863</t>
  </si>
  <si>
    <t>31646137</t>
  </si>
  <si>
    <t xml:space="preserve">ООО "ДЖИ-ПРОМ ТЕПЛО"</t>
  </si>
  <si>
    <t>5918219860</t>
  </si>
  <si>
    <t>31313160</t>
  </si>
  <si>
    <t xml:space="preserve">ООО "ДТЕ"</t>
  </si>
  <si>
    <t>5907035332</t>
  </si>
  <si>
    <t xml:space="preserve">07-07-2017 00:00:00</t>
  </si>
  <si>
    <t>31348956</t>
  </si>
  <si>
    <t xml:space="preserve">ООО "Двуречье"</t>
  </si>
  <si>
    <t>5907035300</t>
  </si>
  <si>
    <t>31338477</t>
  </si>
  <si>
    <t xml:space="preserve">ООО "Дом"</t>
  </si>
  <si>
    <t>5917005295</t>
  </si>
  <si>
    <t>28877564</t>
  </si>
  <si>
    <t xml:space="preserve">ООО "Домен"</t>
  </si>
  <si>
    <t>5904277446</t>
  </si>
  <si>
    <t>26513717</t>
  </si>
  <si>
    <t xml:space="preserve">ООО "ЖКХ"</t>
  </si>
  <si>
    <t>5917591900</t>
  </si>
  <si>
    <t xml:space="preserve">22-06-2005 00:00:00</t>
  </si>
  <si>
    <t>31160638</t>
  </si>
  <si>
    <t xml:space="preserve">ООО "ЖЭК МАСТЕР"</t>
  </si>
  <si>
    <t>5911049539</t>
  </si>
  <si>
    <t xml:space="preserve">12-07-2006 00:00:00</t>
  </si>
  <si>
    <t>31326402</t>
  </si>
  <si>
    <t xml:space="preserve">ООО "ЖилСтройКомфорт"</t>
  </si>
  <si>
    <t>5904350287</t>
  </si>
  <si>
    <t>26513683</t>
  </si>
  <si>
    <t xml:space="preserve">ООО "Завод "Синергия"</t>
  </si>
  <si>
    <t>5906032459</t>
  </si>
  <si>
    <t>26513791</t>
  </si>
  <si>
    <t xml:space="preserve">ООО "ИРЦ Комби"</t>
  </si>
  <si>
    <t>5919005981</t>
  </si>
  <si>
    <t>26772155</t>
  </si>
  <si>
    <t xml:space="preserve">ООО "Импульс Урала"</t>
  </si>
  <si>
    <t>5904161642</t>
  </si>
  <si>
    <t xml:space="preserve">02-04-2007 00:00:00</t>
  </si>
  <si>
    <t>26513824</t>
  </si>
  <si>
    <t xml:space="preserve">ООО "Импульс"</t>
  </si>
  <si>
    <t>5947017890</t>
  </si>
  <si>
    <t>31381504</t>
  </si>
  <si>
    <t xml:space="preserve">ООО "Инициатива"</t>
  </si>
  <si>
    <t>5911063300</t>
  </si>
  <si>
    <t>26513611</t>
  </si>
  <si>
    <t xml:space="preserve">ООО "Инмаш"</t>
  </si>
  <si>
    <t>5903127938</t>
  </si>
  <si>
    <t>31223122</t>
  </si>
  <si>
    <t xml:space="preserve">ООО "Искра"</t>
  </si>
  <si>
    <t>5939006542</t>
  </si>
  <si>
    <t>31511638</t>
  </si>
  <si>
    <t xml:space="preserve">ООО "КАМА"</t>
  </si>
  <si>
    <t>5916031750</t>
  </si>
  <si>
    <t>28829305</t>
  </si>
  <si>
    <t xml:space="preserve">ООО "Камский кабель"</t>
  </si>
  <si>
    <t>5904184047</t>
  </si>
  <si>
    <t>26765918</t>
  </si>
  <si>
    <t xml:space="preserve">ООО "Каравай"</t>
  </si>
  <si>
    <t>5920034144</t>
  </si>
  <si>
    <t>184101001</t>
  </si>
  <si>
    <t>30838236</t>
  </si>
  <si>
    <t xml:space="preserve">ООО "Кизеловская швейная фабрика "Инициатива"</t>
  </si>
  <si>
    <t>5915004666</t>
  </si>
  <si>
    <t xml:space="preserve">26-09-2016 00:00:00</t>
  </si>
  <si>
    <t>30894334</t>
  </si>
  <si>
    <t xml:space="preserve">ООО "Ключи"</t>
  </si>
  <si>
    <t>5921023272</t>
  </si>
  <si>
    <t xml:space="preserve">01-04-2008 00:00:00</t>
  </si>
  <si>
    <t>31398415</t>
  </si>
  <si>
    <t xml:space="preserve">ООО "Комплексное проектирование - Пермь"</t>
  </si>
  <si>
    <t>5902238057</t>
  </si>
  <si>
    <t>26513619</t>
  </si>
  <si>
    <t xml:space="preserve">ООО "Комхор-П"</t>
  </si>
  <si>
    <t>5904085938</t>
  </si>
  <si>
    <t>26513918</t>
  </si>
  <si>
    <t xml:space="preserve">ООО "Кудымкарские тепловые сети"</t>
  </si>
  <si>
    <t>5981004884</t>
  </si>
  <si>
    <t xml:space="preserve">01-03-2012 00:00:00</t>
  </si>
  <si>
    <t>26513141</t>
  </si>
  <si>
    <t xml:space="preserve">ООО "Кунгурская база"</t>
  </si>
  <si>
    <t>5917594844</t>
  </si>
  <si>
    <t xml:space="preserve">28-11-2006 00:00:00</t>
  </si>
  <si>
    <t>26508468</t>
  </si>
  <si>
    <t xml:space="preserve">ООО "ЛУКОЙЛ-Пермнефтеоргсинтез"</t>
  </si>
  <si>
    <t>5905099475</t>
  </si>
  <si>
    <t xml:space="preserve">21-11-2002 00:00:00</t>
  </si>
  <si>
    <t>26318609</t>
  </si>
  <si>
    <t xml:space="preserve">ООО "ЛЫСЬВА-ТЕПЛОЭНЕРГО"</t>
  </si>
  <si>
    <t>6323097287</t>
  </si>
  <si>
    <t>31448226</t>
  </si>
  <si>
    <t xml:space="preserve">ООО "МАРТ"</t>
  </si>
  <si>
    <t>5948995726</t>
  </si>
  <si>
    <t>28461770</t>
  </si>
  <si>
    <t xml:space="preserve">ООО "МЖК-строй"</t>
  </si>
  <si>
    <t>5908009141</t>
  </si>
  <si>
    <t>590800914</t>
  </si>
  <si>
    <t>26508497</t>
  </si>
  <si>
    <t xml:space="preserve">ООО "Межрегиональная энергетическая компания"</t>
  </si>
  <si>
    <t>5904640109</t>
  </si>
  <si>
    <t xml:space="preserve">02-04-2004 00:00:00</t>
  </si>
  <si>
    <t>26956387</t>
  </si>
  <si>
    <t xml:space="preserve">ООО "Мой Дом"</t>
  </si>
  <si>
    <t>5917598285</t>
  </si>
  <si>
    <t xml:space="preserve">19-02-2009 00:00:00</t>
  </si>
  <si>
    <t>26506176</t>
  </si>
  <si>
    <t xml:space="preserve">ООО "НОВОГОР-Прикамье"</t>
  </si>
  <si>
    <t>5902817382</t>
  </si>
  <si>
    <t xml:space="preserve">21-05-2003 00:00:00</t>
  </si>
  <si>
    <t>26838004</t>
  </si>
  <si>
    <t xml:space="preserve">ООО "Надежда"</t>
  </si>
  <si>
    <t>5904195793</t>
  </si>
  <si>
    <t xml:space="preserve">23-09-2008 00:00:00</t>
  </si>
  <si>
    <t>27581519</t>
  </si>
  <si>
    <t xml:space="preserve">ООО "Настена"</t>
  </si>
  <si>
    <t>5957007115</t>
  </si>
  <si>
    <t xml:space="preserve">10-11-2000 00:00:00</t>
  </si>
  <si>
    <t>30873916</t>
  </si>
  <si>
    <t xml:space="preserve">ООО "Новая энергетика"</t>
  </si>
  <si>
    <t>5902040900</t>
  </si>
  <si>
    <t xml:space="preserve">24-01-2017 00:00:00</t>
  </si>
  <si>
    <t>30849352</t>
  </si>
  <si>
    <t xml:space="preserve">ООО "Новые технологии"</t>
  </si>
  <si>
    <t>5919851790</t>
  </si>
  <si>
    <t xml:space="preserve">02-11-2016 00:00:00</t>
  </si>
  <si>
    <t>27726486</t>
  </si>
  <si>
    <t xml:space="preserve">ООО "ОП "Партнер"</t>
  </si>
  <si>
    <t>5914025800</t>
  </si>
  <si>
    <t>31290610</t>
  </si>
  <si>
    <t xml:space="preserve">ООО "Омега"</t>
  </si>
  <si>
    <t>5903063201</t>
  </si>
  <si>
    <t>31515419</t>
  </si>
  <si>
    <t xml:space="preserve">ООО "ПАК ДЕВЕЛОПМЕНТ"</t>
  </si>
  <si>
    <t>5902846827</t>
  </si>
  <si>
    <t xml:space="preserve">15-05-2008 00:00:00</t>
  </si>
  <si>
    <t>28831305</t>
  </si>
  <si>
    <t xml:space="preserve">ООО "ПБЗ"</t>
  </si>
  <si>
    <t>5903101591</t>
  </si>
  <si>
    <t xml:space="preserve">30-07-2012 00:00:00</t>
  </si>
  <si>
    <t>31439483</t>
  </si>
  <si>
    <t xml:space="preserve">ООО "ПКФ" Синтез"</t>
  </si>
  <si>
    <t>5904045445</t>
  </si>
  <si>
    <t>31212705</t>
  </si>
  <si>
    <t xml:space="preserve">ООО "ПТ-СЕРВИС 1"</t>
  </si>
  <si>
    <t>7452143670</t>
  </si>
  <si>
    <t>745201001</t>
  </si>
  <si>
    <t xml:space="preserve">08-09-2017 00:00:00</t>
  </si>
  <si>
    <t>31661694</t>
  </si>
  <si>
    <t xml:space="preserve">ООО "ПТЭК"</t>
  </si>
  <si>
    <t>5902062533</t>
  </si>
  <si>
    <t>26511397</t>
  </si>
  <si>
    <t xml:space="preserve">ООО "ПУ ЖКХ"</t>
  </si>
  <si>
    <t>5917596295</t>
  </si>
  <si>
    <t>26513237</t>
  </si>
  <si>
    <t xml:space="preserve">ООО "ПЭРК"</t>
  </si>
  <si>
    <t>5906064860</t>
  </si>
  <si>
    <t xml:space="preserve">23-11-2005 00:00:00</t>
  </si>
  <si>
    <t>27816368</t>
  </si>
  <si>
    <t xml:space="preserve">ООО "Пермский насосный завод"</t>
  </si>
  <si>
    <t>5948008049</t>
  </si>
  <si>
    <t xml:space="preserve">21-06-2011 00:00:00</t>
  </si>
  <si>
    <t>30883350</t>
  </si>
  <si>
    <t xml:space="preserve">ООО "Поток"</t>
  </si>
  <si>
    <t>5905036115</t>
  </si>
  <si>
    <t xml:space="preserve">22-02-2017 00:00:00</t>
  </si>
  <si>
    <t>26513973</t>
  </si>
  <si>
    <t xml:space="preserve">ООО "Привод-Теплоэнергоресурсы"</t>
  </si>
  <si>
    <t>5918014983</t>
  </si>
  <si>
    <t xml:space="preserve">10-12-2002 00:00:00</t>
  </si>
  <si>
    <t>26513251</t>
  </si>
  <si>
    <t xml:space="preserve">ООО "Прогресс-2000"</t>
  </si>
  <si>
    <t>5904093840</t>
  </si>
  <si>
    <t>26832349</t>
  </si>
  <si>
    <t>27234322</t>
  </si>
  <si>
    <t xml:space="preserve">ООО "Промгаз"</t>
  </si>
  <si>
    <t>5905277181</t>
  </si>
  <si>
    <t xml:space="preserve">12-04-2010 00:00:00</t>
  </si>
  <si>
    <t>28819960</t>
  </si>
  <si>
    <t xml:space="preserve">ООО "Промсервис"</t>
  </si>
  <si>
    <t>5911062875</t>
  </si>
  <si>
    <t>31504089</t>
  </si>
  <si>
    <t xml:space="preserve">ООО "Р.М. ВЕКТОР"</t>
  </si>
  <si>
    <t>5906035756</t>
  </si>
  <si>
    <t>29650028</t>
  </si>
  <si>
    <t xml:space="preserve">ООО "РЕГИОН ПАРТНЕР"</t>
  </si>
  <si>
    <t>5907020713</t>
  </si>
  <si>
    <t>26512474</t>
  </si>
  <si>
    <t xml:space="preserve">ООО "РЭМ-Сервис"</t>
  </si>
  <si>
    <t>5905283241</t>
  </si>
  <si>
    <t xml:space="preserve">15-02-2011 00:00:00</t>
  </si>
  <si>
    <t>26513835</t>
  </si>
  <si>
    <t xml:space="preserve">ООО "Райтеплоэнерго-Сервис"</t>
  </si>
  <si>
    <t>5948052810</t>
  </si>
  <si>
    <t>30390525</t>
  </si>
  <si>
    <t xml:space="preserve">ООО "Ресурс"</t>
  </si>
  <si>
    <t>5905027512</t>
  </si>
  <si>
    <t xml:space="preserve">08-04-2015 00:00:00</t>
  </si>
  <si>
    <t>31366464</t>
  </si>
  <si>
    <t xml:space="preserve">ООО "Ресурс-Капитал"</t>
  </si>
  <si>
    <t>1828031810</t>
  </si>
  <si>
    <t>182801001</t>
  </si>
  <si>
    <t xml:space="preserve">02-05-2024 00:00:00</t>
  </si>
  <si>
    <t>28459084</t>
  </si>
  <si>
    <t xml:space="preserve">ООО "РесурсЭнергоТранс"</t>
  </si>
  <si>
    <t>5902226485</t>
  </si>
  <si>
    <t>30425155</t>
  </si>
  <si>
    <t xml:space="preserve">ООО "Рубикон"</t>
  </si>
  <si>
    <t>5920037508</t>
  </si>
  <si>
    <t xml:space="preserve">05-03-2012 00:00:00</t>
  </si>
  <si>
    <t>26506116</t>
  </si>
  <si>
    <t xml:space="preserve">ООО "СВЕЗА УРАЛЬСКИЙ"</t>
  </si>
  <si>
    <t>5942005010</t>
  </si>
  <si>
    <t xml:space="preserve">21-05-2004 00:00:00</t>
  </si>
  <si>
    <t>26506263</t>
  </si>
  <si>
    <t xml:space="preserve">ООО "СЕРВИСНЫЙ ЦЕНТР "КОНТАКТ"</t>
  </si>
  <si>
    <t>5902825390</t>
  </si>
  <si>
    <t xml:space="preserve">18-04-2005 00:00:00</t>
  </si>
  <si>
    <t>29646030</t>
  </si>
  <si>
    <t xml:space="preserve">ООО "СК Вышка-2"</t>
  </si>
  <si>
    <t>5902236596</t>
  </si>
  <si>
    <t>26772140</t>
  </si>
  <si>
    <t xml:space="preserve">ООО "СМУ-11"</t>
  </si>
  <si>
    <t>5902210855</t>
  </si>
  <si>
    <t>26513855</t>
  </si>
  <si>
    <t xml:space="preserve">ООО "СТЭК"</t>
  </si>
  <si>
    <t>5951042988</t>
  </si>
  <si>
    <t>31335025</t>
  </si>
  <si>
    <t xml:space="preserve">ООО "Северный коммунар"</t>
  </si>
  <si>
    <t>5907035371</t>
  </si>
  <si>
    <t>26318608</t>
  </si>
  <si>
    <t xml:space="preserve">ООО "Соликамская ТЭЦ"</t>
  </si>
  <si>
    <t>5919018564</t>
  </si>
  <si>
    <t xml:space="preserve">01-09-2009 00:00:00</t>
  </si>
  <si>
    <t>31698568</t>
  </si>
  <si>
    <t xml:space="preserve">ООО "Специализированный застройщик "Экопарк"</t>
  </si>
  <si>
    <t>5904380468</t>
  </si>
  <si>
    <t>26513596</t>
  </si>
  <si>
    <t xml:space="preserve">ООО "Стройсервис"</t>
  </si>
  <si>
    <t>5918014969</t>
  </si>
  <si>
    <t xml:space="preserve">29-11-2002 00:00:00</t>
  </si>
  <si>
    <t>26512514</t>
  </si>
  <si>
    <t xml:space="preserve">ООО "Стройтехсервис"</t>
  </si>
  <si>
    <t>5904083779</t>
  </si>
  <si>
    <t xml:space="preserve">25-02-2003 00:00:00</t>
  </si>
  <si>
    <t>27479571</t>
  </si>
  <si>
    <t xml:space="preserve">ООО "Строн-М"</t>
  </si>
  <si>
    <t>5902811951</t>
  </si>
  <si>
    <t>26511587</t>
  </si>
  <si>
    <t xml:space="preserve">ООО "Сфера"</t>
  </si>
  <si>
    <t>5957014169</t>
  </si>
  <si>
    <t>31218547</t>
  </si>
  <si>
    <t xml:space="preserve">ООО "Т3"</t>
  </si>
  <si>
    <t>5917004051</t>
  </si>
  <si>
    <t>26508805</t>
  </si>
  <si>
    <t xml:space="preserve">ООО "ТВС"</t>
  </si>
  <si>
    <t>5918841447</t>
  </si>
  <si>
    <t>31518634</t>
  </si>
  <si>
    <t xml:space="preserve">ООО "ТЕПЛО"</t>
  </si>
  <si>
    <t>5948063385</t>
  </si>
  <si>
    <t xml:space="preserve">12-08-2021 00:00:00</t>
  </si>
  <si>
    <t>26506231</t>
  </si>
  <si>
    <t xml:space="preserve">ООО "ТЕПЛО-М"</t>
  </si>
  <si>
    <t>5906042295</t>
  </si>
  <si>
    <t>31628278</t>
  </si>
  <si>
    <t xml:space="preserve">ООО "ТЕПЛО-СЫЛВА"</t>
  </si>
  <si>
    <t>5903153977</t>
  </si>
  <si>
    <t>31686883</t>
  </si>
  <si>
    <t xml:space="preserve">ООО "ТЕПЛОВДОМ"</t>
  </si>
  <si>
    <t>5919032657</t>
  </si>
  <si>
    <t>31502472</t>
  </si>
  <si>
    <t xml:space="preserve">ООО "ТЕПЛОСЕРВИС" (ИНН 5904340345)</t>
  </si>
  <si>
    <t>5904340345</t>
  </si>
  <si>
    <t>27867790</t>
  </si>
  <si>
    <t xml:space="preserve">ООО "ТКС-Сылва"</t>
  </si>
  <si>
    <t>5948042233</t>
  </si>
  <si>
    <t xml:space="preserve">23-05-2012 00:00:00</t>
  </si>
  <si>
    <t>31326169</t>
  </si>
  <si>
    <t xml:space="preserve">ООО "ТОП-ЭНЕРГО"</t>
  </si>
  <si>
    <t>5902048440</t>
  </si>
  <si>
    <t>26513284</t>
  </si>
  <si>
    <t xml:space="preserve">ООО "ТЭКОМ"</t>
  </si>
  <si>
    <t>5921023924</t>
  </si>
  <si>
    <t xml:space="preserve">13-08-2008 00:00:00</t>
  </si>
  <si>
    <t>26513981</t>
  </si>
  <si>
    <t xml:space="preserve">ООО "Текстиль-Энергия"</t>
  </si>
  <si>
    <t>5920019876</t>
  </si>
  <si>
    <t xml:space="preserve">22-07-2003 00:00:00</t>
  </si>
  <si>
    <t>28443370</t>
  </si>
  <si>
    <t xml:space="preserve">ООО "Тепло сервис"</t>
  </si>
  <si>
    <t>5907054783</t>
  </si>
  <si>
    <t>30982567</t>
  </si>
  <si>
    <t xml:space="preserve">ООО "Тепло-Бизнес"</t>
  </si>
  <si>
    <t>5902043650</t>
  </si>
  <si>
    <t xml:space="preserve">16-10-2017 00:00:00</t>
  </si>
  <si>
    <t>26513697</t>
  </si>
  <si>
    <t xml:space="preserve">ООО "Тепло-Газ-Сервис"</t>
  </si>
  <si>
    <t>5933005990</t>
  </si>
  <si>
    <t>28505186</t>
  </si>
  <si>
    <t xml:space="preserve">ООО "Тепло-Терм"</t>
  </si>
  <si>
    <t>5904295830</t>
  </si>
  <si>
    <t>28286777</t>
  </si>
  <si>
    <t xml:space="preserve">ООО "ТеплоГазСервис"</t>
  </si>
  <si>
    <t>5917001332</t>
  </si>
  <si>
    <t xml:space="preserve">27-02-2013 00:00:00</t>
  </si>
  <si>
    <t>31346168</t>
  </si>
  <si>
    <t xml:space="preserve">ООО "ТеплоРесурс" (ИНН 5902049243)</t>
  </si>
  <si>
    <t>5902049243</t>
  </si>
  <si>
    <t>31448130</t>
  </si>
  <si>
    <t xml:space="preserve">ООО "ТеплоСервис" (ИНН 5911077984)</t>
  </si>
  <si>
    <t>5911077984</t>
  </si>
  <si>
    <t>26513991</t>
  </si>
  <si>
    <t xml:space="preserve">ООО "Тепловая компания "Альянс"</t>
  </si>
  <si>
    <t>5947014530</t>
  </si>
  <si>
    <t xml:space="preserve">10-06-2005 00:00:00</t>
  </si>
  <si>
    <t>31036404</t>
  </si>
  <si>
    <t xml:space="preserve">ООО "Тепловик"</t>
  </si>
  <si>
    <t>5916033613</t>
  </si>
  <si>
    <t xml:space="preserve">25-01-2018 00:00:00</t>
  </si>
  <si>
    <t>31279541</t>
  </si>
  <si>
    <t xml:space="preserve">ООО "Теплово"</t>
  </si>
  <si>
    <t>5907035420</t>
  </si>
  <si>
    <t>26513908</t>
  </si>
  <si>
    <t xml:space="preserve">ООО "Тепловые системы"</t>
  </si>
  <si>
    <t>5904098550</t>
  </si>
  <si>
    <t xml:space="preserve">22-10-2002 00:00:00</t>
  </si>
  <si>
    <t>31036491</t>
  </si>
  <si>
    <t xml:space="preserve">ООО "Теплосервис" (ИНН 5911077952)</t>
  </si>
  <si>
    <t>5911077952</t>
  </si>
  <si>
    <t xml:space="preserve">20-06-2017 00:00:00</t>
  </si>
  <si>
    <t>26526185</t>
  </si>
  <si>
    <t xml:space="preserve">ООО "Теплосервис" (ИНН 5957008140)</t>
  </si>
  <si>
    <t>5957008140</t>
  </si>
  <si>
    <t>26513793</t>
  </si>
  <si>
    <t xml:space="preserve">ООО "Теплосети"</t>
  </si>
  <si>
    <t>5919007347</t>
  </si>
  <si>
    <t xml:space="preserve">09-10-2007 00:00:00</t>
  </si>
  <si>
    <t>26513157</t>
  </si>
  <si>
    <t xml:space="preserve">ООО "Теплосеть"</t>
  </si>
  <si>
    <t>5917599120</t>
  </si>
  <si>
    <t xml:space="preserve">28-08-2009 00:00:00</t>
  </si>
  <si>
    <t>31451212</t>
  </si>
  <si>
    <t xml:space="preserve">ООО "Теплоснаб"</t>
  </si>
  <si>
    <t>5918216267</t>
  </si>
  <si>
    <t>26513691</t>
  </si>
  <si>
    <t xml:space="preserve">ООО "Теплоэнерго с.Карагай"</t>
  </si>
  <si>
    <t>5933005937</t>
  </si>
  <si>
    <t xml:space="preserve">08-10-2007 00:00:00</t>
  </si>
  <si>
    <t>31353473</t>
  </si>
  <si>
    <t xml:space="preserve">ООО "Техкоммуникация"</t>
  </si>
  <si>
    <t>5903142615</t>
  </si>
  <si>
    <t>30882723</t>
  </si>
  <si>
    <t xml:space="preserve">ООО "Торговый дом ПЗСП"</t>
  </si>
  <si>
    <t>5903049341</t>
  </si>
  <si>
    <t xml:space="preserve">20-02-2017 00:00:00</t>
  </si>
  <si>
    <t>26513245</t>
  </si>
  <si>
    <t xml:space="preserve">ООО "УК "Кедр"</t>
  </si>
  <si>
    <t>5906080100</t>
  </si>
  <si>
    <t xml:space="preserve">19-02-2008 00:00:00</t>
  </si>
  <si>
    <t>26508841</t>
  </si>
  <si>
    <t xml:space="preserve">ООО "УКК"</t>
  </si>
  <si>
    <t>5920025083</t>
  </si>
  <si>
    <t xml:space="preserve">13-06-2006 00:00:00</t>
  </si>
  <si>
    <t>31092258</t>
  </si>
  <si>
    <t xml:space="preserve">ООО "УПРАВЛЯЮЩАЯ КОМПАНИЯ "ОПТИМА"</t>
  </si>
  <si>
    <t>5921030255</t>
  </si>
  <si>
    <t xml:space="preserve">20-05-2013 00:00:00</t>
  </si>
  <si>
    <t>27555269</t>
  </si>
  <si>
    <t xml:space="preserve">ООО "Урал Девелопмент"</t>
  </si>
  <si>
    <t>5902162168</t>
  </si>
  <si>
    <t>26511599</t>
  </si>
  <si>
    <t xml:space="preserve">ООО "Урал-Сфера"</t>
  </si>
  <si>
    <t>5917510548</t>
  </si>
  <si>
    <t>27234388</t>
  </si>
  <si>
    <t xml:space="preserve">ООО "Уралстройгарант"</t>
  </si>
  <si>
    <t>5918837480</t>
  </si>
  <si>
    <t xml:space="preserve">18-09-2009 00:00:00</t>
  </si>
  <si>
    <t>28068476</t>
  </si>
  <si>
    <t xml:space="preserve">ООО "Хлеб"</t>
  </si>
  <si>
    <t>5947014709</t>
  </si>
  <si>
    <t>27585431</t>
  </si>
  <si>
    <t xml:space="preserve">ООО "Цельсий"</t>
  </si>
  <si>
    <t>5902176139</t>
  </si>
  <si>
    <t>26513535</t>
  </si>
  <si>
    <t xml:space="preserve">ООО "Центр технического сервиса"</t>
  </si>
  <si>
    <t>5941003330</t>
  </si>
  <si>
    <t xml:space="preserve">09-01-1999 00:00:00</t>
  </si>
  <si>
    <t>30846971</t>
  </si>
  <si>
    <t xml:space="preserve">ООО "Чернушинская Тепловая компания"</t>
  </si>
  <si>
    <t>5957018068</t>
  </si>
  <si>
    <t xml:space="preserve">24-10-2016 00:00:00</t>
  </si>
  <si>
    <t>26513888</t>
  </si>
  <si>
    <t xml:space="preserve">ООО "Чернушкастройкерамика"</t>
  </si>
  <si>
    <t>5957007186</t>
  </si>
  <si>
    <t xml:space="preserve">27-12-2000 00:00:00</t>
  </si>
  <si>
    <t>26508827</t>
  </si>
  <si>
    <t xml:space="preserve">ООО "ЭКОСТРОЙ"</t>
  </si>
  <si>
    <t>5920030894</t>
  </si>
  <si>
    <t xml:space="preserve">16-09-2009 00:00:00</t>
  </si>
  <si>
    <t>28983103</t>
  </si>
  <si>
    <t xml:space="preserve">ООО "ЭНЕРГОРЕСУРС"</t>
  </si>
  <si>
    <t>5911072190</t>
  </si>
  <si>
    <t xml:space="preserve">27-02-2015 00:00:00</t>
  </si>
  <si>
    <t>28878458</t>
  </si>
  <si>
    <t xml:space="preserve">ООО "Экоинвест-Групп"</t>
  </si>
  <si>
    <t>5905268941</t>
  </si>
  <si>
    <t>591645001</t>
  </si>
  <si>
    <t>26511548</t>
  </si>
  <si>
    <t xml:space="preserve">ООО "Энергия"</t>
  </si>
  <si>
    <t>5944206032</t>
  </si>
  <si>
    <t xml:space="preserve">02-12-2008 00:00:00</t>
  </si>
  <si>
    <t>26513203</t>
  </si>
  <si>
    <t xml:space="preserve">ООО "Энергия-М"</t>
  </si>
  <si>
    <t>5905239891</t>
  </si>
  <si>
    <t>26513207</t>
  </si>
  <si>
    <t xml:space="preserve">ООО "Энергия-С"</t>
  </si>
  <si>
    <t>5906059732</t>
  </si>
  <si>
    <t>27856563</t>
  </si>
  <si>
    <t xml:space="preserve">ООО "ЭнергоРесурс"</t>
  </si>
  <si>
    <t>5948040934</t>
  </si>
  <si>
    <t xml:space="preserve">08-09-2011 00:00:00</t>
  </si>
  <si>
    <t>28932328</t>
  </si>
  <si>
    <t xml:space="preserve">ООО "ЭнергоСнабжающая Компания"</t>
  </si>
  <si>
    <t>5903956082</t>
  </si>
  <si>
    <t xml:space="preserve">25-11-2014 00:00:00</t>
  </si>
  <si>
    <t xml:space="preserve">14-03-2024 00:00:00</t>
  </si>
  <si>
    <t>30879110</t>
  </si>
  <si>
    <t xml:space="preserve">ООО "Юкам"</t>
  </si>
  <si>
    <t>5981003785</t>
  </si>
  <si>
    <t>26812944</t>
  </si>
  <si>
    <t xml:space="preserve">ООО «Газпром Трансгаз Чайковский» - филиал Гремячинское ЛПУМГ</t>
  </si>
  <si>
    <t>591202001</t>
  </si>
  <si>
    <t xml:space="preserve">25-02-1993 00:00:00</t>
  </si>
  <si>
    <t>28175547</t>
  </si>
  <si>
    <t xml:space="preserve">ООО «ТеплоРесурс»</t>
  </si>
  <si>
    <t>5948041430</t>
  </si>
  <si>
    <t xml:space="preserve">01-07-2013 00:00:00</t>
  </si>
  <si>
    <t>27306934</t>
  </si>
  <si>
    <t xml:space="preserve">ООО «Теплоэнергогаз»</t>
  </si>
  <si>
    <t>5951000113</t>
  </si>
  <si>
    <t>28818860</t>
  </si>
  <si>
    <t xml:space="preserve">ООО УК "Дом будущего"</t>
  </si>
  <si>
    <t>5916025066</t>
  </si>
  <si>
    <t xml:space="preserve">02-02-2011 00:00:00</t>
  </si>
  <si>
    <t>28985400</t>
  </si>
  <si>
    <t xml:space="preserve">Общество с ограниченной ответственностью "Джи-пром Инжиниринг"</t>
  </si>
  <si>
    <t>5902229870</t>
  </si>
  <si>
    <t>31005993</t>
  </si>
  <si>
    <t xml:space="preserve">Общество с ограниченной ответственностью "Лидер+"</t>
  </si>
  <si>
    <t>5906123716</t>
  </si>
  <si>
    <t xml:space="preserve">19-12-2017 00:00:00</t>
  </si>
  <si>
    <t>30903741</t>
  </si>
  <si>
    <t xml:space="preserve">Общество с ограниченной ответственностью "Пермская Строительная Компания"</t>
  </si>
  <si>
    <t>5906077940</t>
  </si>
  <si>
    <t>28875021</t>
  </si>
  <si>
    <t xml:space="preserve">Общество с ограниченной ответственностью "Родник"</t>
  </si>
  <si>
    <t>5916022820</t>
  </si>
  <si>
    <t>28877648</t>
  </si>
  <si>
    <t xml:space="preserve">Общество с ограниченной ответственностью "Тимсервис"</t>
  </si>
  <si>
    <t>5904254752</t>
  </si>
  <si>
    <t>30918216</t>
  </si>
  <si>
    <t xml:space="preserve">Общество с ограниченной ответственностью "Управляющая компания Строй Центр"</t>
  </si>
  <si>
    <t>5921998350</t>
  </si>
  <si>
    <t xml:space="preserve">30-05-2017 00:00:00</t>
  </si>
  <si>
    <t>26851156</t>
  </si>
  <si>
    <t xml:space="preserve">Общество с ограниченной ответственностью "Уралкотел", г.Екатеринбург</t>
  </si>
  <si>
    <t>6658369655</t>
  </si>
  <si>
    <t>665801001</t>
  </si>
  <si>
    <t>30918207</t>
  </si>
  <si>
    <t xml:space="preserve">Общество с ограниченной ответственностью "Энергосистемы"</t>
  </si>
  <si>
    <t>5904261189</t>
  </si>
  <si>
    <t>28868543</t>
  </si>
  <si>
    <t xml:space="preserve">ПАО " Т ПЛЮС" Филиал «Пермский»</t>
  </si>
  <si>
    <t>6315376946</t>
  </si>
  <si>
    <t>590443003</t>
  </si>
  <si>
    <t xml:space="preserve">01-08-2005 00:00:00</t>
  </si>
  <si>
    <t>26513139</t>
  </si>
  <si>
    <t xml:space="preserve">ПАО "КОРПОРАЦИЯ ВСМПО-АВИСМА"</t>
  </si>
  <si>
    <t>6607000556</t>
  </si>
  <si>
    <t>591102001</t>
  </si>
  <si>
    <t>30854989</t>
  </si>
  <si>
    <t xml:space="preserve">ПАО "КЭЛМИ"</t>
  </si>
  <si>
    <t>5916000086</t>
  </si>
  <si>
    <t xml:space="preserve">08-12-2016 00:00:00</t>
  </si>
  <si>
    <t xml:space="preserve">26-01-2024 00:00:00</t>
  </si>
  <si>
    <t>26506248</t>
  </si>
  <si>
    <t xml:space="preserve">ПАО "УРАЛКАЛИЙ"</t>
  </si>
  <si>
    <t>5911029807</t>
  </si>
  <si>
    <t>997350001</t>
  </si>
  <si>
    <t xml:space="preserve">14-10-1992 00:00:00</t>
  </si>
  <si>
    <t>26513181</t>
  </si>
  <si>
    <t xml:space="preserve">ПАО НПО "Искра"</t>
  </si>
  <si>
    <t>5907001774</t>
  </si>
  <si>
    <t xml:space="preserve">25-07-1996 00:00:00</t>
  </si>
  <si>
    <t>26508478</t>
  </si>
  <si>
    <t xml:space="preserve">ПМУП "ГКТХ"</t>
  </si>
  <si>
    <t>5904081443</t>
  </si>
  <si>
    <t>26513949</t>
  </si>
  <si>
    <t xml:space="preserve">Соликамское МУП "Теплоэнерго"</t>
  </si>
  <si>
    <t>5919016133</t>
  </si>
  <si>
    <t>31065402</t>
  </si>
  <si>
    <t xml:space="preserve">ТСЖ "Революции, 7"</t>
  </si>
  <si>
    <t>5904045396</t>
  </si>
  <si>
    <t xml:space="preserve">13-09-2002 00:00:00</t>
  </si>
  <si>
    <t>30796215</t>
  </si>
  <si>
    <t xml:space="preserve">ТСЖ "Химик"</t>
  </si>
  <si>
    <t>5921032982</t>
  </si>
  <si>
    <t>26511581</t>
  </si>
  <si>
    <t xml:space="preserve">УМТП "Куединские тепловые сети"</t>
  </si>
  <si>
    <t>5939003630</t>
  </si>
  <si>
    <t xml:space="preserve">04-04-1995 00:00:00</t>
  </si>
  <si>
    <t>26513239</t>
  </si>
  <si>
    <t xml:space="preserve">ФГАОУ ВО "ПЕРМСКИЙ НАЦИОНАЛЬНЫЙ ИССЛЕДОВАТЕЛЬСКИЙ ПОЛИТЕХНИЧЕСКИЙ УНИВЕРСИТЕТ" ФГАОУ ВО "ПНИПУ"</t>
  </si>
  <si>
    <t>5902291029</t>
  </si>
  <si>
    <t xml:space="preserve">23-10-2003 00:00:00</t>
  </si>
  <si>
    <t>30903763</t>
  </si>
  <si>
    <t xml:space="preserve">ФГБУ "ЦЖКУ" МИНОБОРОНЫ РОССИИ</t>
  </si>
  <si>
    <t>7729314745</t>
  </si>
  <si>
    <t>770101001</t>
  </si>
  <si>
    <t>26513833</t>
  </si>
  <si>
    <t xml:space="preserve">ФГКУ комбинат "Проект" Росрезерва</t>
  </si>
  <si>
    <t>5948014500</t>
  </si>
  <si>
    <t>31348648</t>
  </si>
  <si>
    <t xml:space="preserve">ФГУП "Машиностроительный завод имени Ф.Э. Дзержинского"</t>
  </si>
  <si>
    <t>5903004703</t>
  </si>
  <si>
    <t>31584438</t>
  </si>
  <si>
    <t xml:space="preserve">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</si>
  <si>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</si>
  <si>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</si>
  <si>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 xml:space="preserve">ФКП "ПЕРМСКИЙ ПОРОХОВОЙ ЗАВОД"</t>
  </si>
  <si>
    <t>5908006119</t>
  </si>
  <si>
    <t xml:space="preserve">27-09-2006 00:00:00</t>
  </si>
  <si>
    <t>31343973</t>
  </si>
  <si>
    <t xml:space="preserve">ФКПОУ "КУНГУРСКИЙ ТЕХНИКУМ-ИНТЕРНАТ" МИНТРУДА РОССИИ</t>
  </si>
  <si>
    <t>5940104047</t>
  </si>
  <si>
    <t>26653223</t>
  </si>
  <si>
    <t xml:space="preserve">ФКУ "ИК-18 ГУФСИН России по Пермскому краю"</t>
  </si>
  <si>
    <t>5917103380</t>
  </si>
  <si>
    <t>26768411</t>
  </si>
  <si>
    <t xml:space="preserve">ФКУ "КП-39 ГУФСИН России по Пермскому краю"</t>
  </si>
  <si>
    <t>5946000397</t>
  </si>
  <si>
    <t>594601001</t>
  </si>
  <si>
    <t>26512481</t>
  </si>
  <si>
    <t xml:space="preserve">ФКУ "Пермская ВК ГУФСИН России по Пермскому краю "</t>
  </si>
  <si>
    <t>5948001607</t>
  </si>
  <si>
    <t>31480358</t>
  </si>
  <si>
    <t xml:space="preserve">ФКУ БМТиВС ГУФСИН РОССИИ по ПЕРМСКОМУ КРАЮ</t>
  </si>
  <si>
    <t>5919017088</t>
  </si>
  <si>
    <t>31390979</t>
  </si>
  <si>
    <t xml:space="preserve">ФКУ ИК-1 ОУХД ГУФСИН России по Пермскому краю</t>
  </si>
  <si>
    <t>5919030145</t>
  </si>
  <si>
    <t>26508876</t>
  </si>
  <si>
    <t xml:space="preserve">ФКУ ИК-10 ГУФСИН РОССИИ ПО ПЕРМСКОМУ КРАЮ</t>
  </si>
  <si>
    <t>5921015810</t>
  </si>
  <si>
    <t>31394455</t>
  </si>
  <si>
    <t xml:space="preserve">ФКУ ИК-11 ОУХД ГУФСИН РОССИИ ПО ПЕРМСКОМУ КРАЮ</t>
  </si>
  <si>
    <t>5919030152</t>
  </si>
  <si>
    <t>28460253</t>
  </si>
  <si>
    <t xml:space="preserve">ФКУ ИК-12 ОУХД ГУФСИН России по Пермскому краю</t>
  </si>
  <si>
    <t>5913005167</t>
  </si>
  <si>
    <t>26772082</t>
  </si>
  <si>
    <t xml:space="preserve">ФКУ ИК-28 ГУФСИН России</t>
  </si>
  <si>
    <t>5911000364</t>
  </si>
  <si>
    <t>26772063</t>
  </si>
  <si>
    <t xml:space="preserve">ФКУ ИК-29 ГУФСИН России по Пермскому краю</t>
  </si>
  <si>
    <t>5906039479</t>
  </si>
  <si>
    <t>26513243</t>
  </si>
  <si>
    <t xml:space="preserve">ФКУ ИК-32 ГУФСИН России по Пермскому краю</t>
  </si>
  <si>
    <t>5903006348</t>
  </si>
  <si>
    <t xml:space="preserve">26-09-2008 00:00:00</t>
  </si>
  <si>
    <t>26508878</t>
  </si>
  <si>
    <t xml:space="preserve">ФКУ ИК-35 ГУФСИН РОССИИ ПО ПЕРМСКОМУ КРАЮ</t>
  </si>
  <si>
    <t>5921015867</t>
  </si>
  <si>
    <t>26653240</t>
  </si>
  <si>
    <t xml:space="preserve">ФКУ ИК-40 ГУФСИН России по Пермскому краю</t>
  </si>
  <si>
    <t>5917103366</t>
  </si>
  <si>
    <t>27581950</t>
  </si>
  <si>
    <t xml:space="preserve">ФКУ ИК-9 ГУФСИН России по Пермскому краю</t>
  </si>
  <si>
    <t>5919000133</t>
  </si>
  <si>
    <t>26772092</t>
  </si>
  <si>
    <t xml:space="preserve">Филиал "Азот" АО "ОХК "УРАЛХИМ" в городе Березники</t>
  </si>
  <si>
    <t>7703647595</t>
  </si>
  <si>
    <t>591143001</t>
  </si>
  <si>
    <t xml:space="preserve">02-12-1992 00:00:00</t>
  </si>
  <si>
    <t>31156971</t>
  </si>
  <si>
    <t xml:space="preserve">Филиал «ПМУ» АО «ОХК «УРАЛХИМ» в городе Перми</t>
  </si>
  <si>
    <t>590543001</t>
  </si>
  <si>
    <t>31021937</t>
  </si>
  <si>
    <t xml:space="preserve">Филиал АО «НПО «Микроген» в г. Пермь «Пермское НПО «Биомед»</t>
  </si>
  <si>
    <t>7722422237</t>
  </si>
  <si>
    <t>590443001</t>
  </si>
  <si>
    <t xml:space="preserve">10-01-2018 00:00:00</t>
  </si>
  <si>
    <t>30914574</t>
  </si>
  <si>
    <t xml:space="preserve">Филиал ФГБУ "ЦЖКУ" МИНОБОРОНЫ РОССИИ (по ЦВО)</t>
  </si>
  <si>
    <t>667043001</t>
  </si>
  <si>
    <t>26790798</t>
  </si>
  <si>
    <t xml:space="preserve">филиал "Яйвинская ГРЭС ПАО "Юнипро"</t>
  </si>
  <si>
    <t>8602067092</t>
  </si>
  <si>
    <t xml:space="preserve">04-03-2005 00:00:00</t>
  </si>
  <si>
    <t>29648751</t>
  </si>
  <si>
    <t xml:space="preserve">МКУ "УПРАВЛЕНИЕ ИНФРАСТРУКТУРОЙ И БЛАГОУСТРОЙСТВОМ КОНДРАТОВСКОГО ТЕРРИТОРИАЛЬНОГО ОРГАНА ТО"</t>
  </si>
  <si>
    <t>5948997057</t>
  </si>
  <si>
    <t>30900031</t>
  </si>
  <si>
    <t xml:space="preserve">ООО "Альтернатива"</t>
  </si>
  <si>
    <t>5904335786</t>
  </si>
  <si>
    <t xml:space="preserve">06-04-2017 00:00:00</t>
  </si>
  <si>
    <t>30798519</t>
  </si>
  <si>
    <t xml:space="preserve">ООО "КВАРТАЛ"</t>
  </si>
  <si>
    <t>5906092560</t>
  </si>
  <si>
    <t>31624497</t>
  </si>
  <si>
    <t xml:space="preserve">АО "АГРО-АЛЬЯНС"</t>
  </si>
  <si>
    <t>5904399170</t>
  </si>
  <si>
    <t>27588223</t>
  </si>
  <si>
    <t xml:space="preserve">АО "АГРОСИЛА ПТИЦЕФАБРИКА ПЕРМСКАЯ"</t>
  </si>
  <si>
    <t>5948008585</t>
  </si>
  <si>
    <t>26508795</t>
  </si>
  <si>
    <t xml:space="preserve">АО "ИСТОК"</t>
  </si>
  <si>
    <t>5914025695</t>
  </si>
  <si>
    <t>31570599</t>
  </si>
  <si>
    <t xml:space="preserve">АО "ЛЗЭП"</t>
  </si>
  <si>
    <t>5918005160</t>
  </si>
  <si>
    <t>26505528</t>
  </si>
  <si>
    <t xml:space="preserve">АО "МЕТАФРАКС КЕМИКАЛС"</t>
  </si>
  <si>
    <t>5913001268</t>
  </si>
  <si>
    <t>26511603</t>
  </si>
  <si>
    <t xml:space="preserve">АО "Птицефабрика Комсомольская"</t>
  </si>
  <si>
    <t>5917591459</t>
  </si>
  <si>
    <t xml:space="preserve">25-01-2005 00:00:00</t>
  </si>
  <si>
    <t>27989337</t>
  </si>
  <si>
    <t xml:space="preserve">АО "Усольский родник"</t>
  </si>
  <si>
    <t>5911064777</t>
  </si>
  <si>
    <t xml:space="preserve">03-05-2011 00:00:00</t>
  </si>
  <si>
    <t>30876723</t>
  </si>
  <si>
    <t xml:space="preserve">Арланское нефтепроводное управление филиал акционерного общества "Транснефть-Урал"</t>
  </si>
  <si>
    <t>0278039018</t>
  </si>
  <si>
    <t>022702001</t>
  </si>
  <si>
    <t>26511972</t>
  </si>
  <si>
    <t xml:space="preserve">ЖК МУП "Верх-Язьвинское"</t>
  </si>
  <si>
    <t>5919006625</t>
  </si>
  <si>
    <t>31430910</t>
  </si>
  <si>
    <t xml:space="preserve">ИП Дунина Светлана Александровна</t>
  </si>
  <si>
    <t>590303365033</t>
  </si>
  <si>
    <t>31416141</t>
  </si>
  <si>
    <t xml:space="preserve">ИП Чуклинов Денис  Михайлович</t>
  </si>
  <si>
    <t>591905339191</t>
  </si>
  <si>
    <t>31191023</t>
  </si>
  <si>
    <t xml:space="preserve">ИП Шаравин Павел Николаевич</t>
  </si>
  <si>
    <t>591791926309</t>
  </si>
  <si>
    <t>26511508</t>
  </si>
  <si>
    <t xml:space="preserve">ИП Щербаков Андрей Алексеевич</t>
  </si>
  <si>
    <t>593300010253</t>
  </si>
  <si>
    <t>31509454</t>
  </si>
  <si>
    <t xml:space="preserve">МАУ "ЖКХ "РЕСУРС"</t>
  </si>
  <si>
    <t>5981007620</t>
  </si>
  <si>
    <t xml:space="preserve">19-04-2019 00:00:00</t>
  </si>
  <si>
    <t>31290037</t>
  </si>
  <si>
    <t xml:space="preserve">МБУ  "Коммунальное хозяйство Тохтуева"</t>
  </si>
  <si>
    <t>5919026741</t>
  </si>
  <si>
    <t>31410166</t>
  </si>
  <si>
    <t xml:space="preserve">МБУ "БОНДЮЖСКОЕ"</t>
  </si>
  <si>
    <t>5919030307</t>
  </si>
  <si>
    <t>30425143</t>
  </si>
  <si>
    <t xml:space="preserve">МБУ "Благоустройство" (ИНН 5918212449)</t>
  </si>
  <si>
    <t>5918212449</t>
  </si>
  <si>
    <t xml:space="preserve">24-01-2012 00:00:00</t>
  </si>
  <si>
    <t>28796724</t>
  </si>
  <si>
    <t xml:space="preserve">МБУ "Благоустройство-Чердынь"</t>
  </si>
  <si>
    <t>5919020274</t>
  </si>
  <si>
    <t>31668062</t>
  </si>
  <si>
    <t xml:space="preserve">МБУ "КОММУНАЛЬНОЕ ХОЗЯЙСТВО"</t>
  </si>
  <si>
    <t>5919015073</t>
  </si>
  <si>
    <t>31495009</t>
  </si>
  <si>
    <t xml:space="preserve">МБУ "Кочевское жилищно-коммунальное хозяйство"</t>
  </si>
  <si>
    <t>5981008416</t>
  </si>
  <si>
    <t>31412646</t>
  </si>
  <si>
    <t xml:space="preserve">МБУ "УРСИИ"</t>
  </si>
  <si>
    <t>5919014810</t>
  </si>
  <si>
    <t>31567773</t>
  </si>
  <si>
    <t xml:space="preserve">МБУ "ЮСЬВИНСКОЕ ЖКХ"</t>
  </si>
  <si>
    <t>5981009762</t>
  </si>
  <si>
    <t xml:space="preserve">31-01-2022 00:00:00</t>
  </si>
  <si>
    <t>31423501</t>
  </si>
  <si>
    <t xml:space="preserve">МКП Косинского муниципального округа ПК "Транспортно-хозяйственное предприятие"</t>
  </si>
  <si>
    <t>5981007814</t>
  </si>
  <si>
    <t>28462570</t>
  </si>
  <si>
    <t xml:space="preserve">МКП ССП ЖКХ п. Скопкортная</t>
  </si>
  <si>
    <t>5911067930</t>
  </si>
  <si>
    <t>31398388</t>
  </si>
  <si>
    <t xml:space="preserve">МКПМО "Лысьвенский городской округ" Лысьвенский городской водоканал"</t>
  </si>
  <si>
    <t>5918217743</t>
  </si>
  <si>
    <t>31194253</t>
  </si>
  <si>
    <t xml:space="preserve">МКУ "Хозяйственно-эксплуатационная служба" Щучье-Озерского сельского поселения Октябрьского городского округа Пермского края</t>
  </si>
  <si>
    <t>5951998290</t>
  </si>
  <si>
    <t>31526513</t>
  </si>
  <si>
    <t xml:space="preserve">МКУ "ЦОСТ"</t>
  </si>
  <si>
    <t>5981008423</t>
  </si>
  <si>
    <t xml:space="preserve">26-01-2021 00:00:00</t>
  </si>
  <si>
    <t>27984860</t>
  </si>
  <si>
    <t xml:space="preserve">МП "Пермводоканал"</t>
  </si>
  <si>
    <t>5906000986</t>
  </si>
  <si>
    <t>26511454</t>
  </si>
  <si>
    <t xml:space="preserve">МУНИЦИПАЛЬНОЕ УНИТАРНОЕ ПРЕДПРИЯТИЕ "ВЕРЕЩАГИНСКИЕ ВОДОКАНАЛИЗАЦИОННЫЕ СЕТИ"</t>
  </si>
  <si>
    <t>5933200159</t>
  </si>
  <si>
    <t>26511450</t>
  </si>
  <si>
    <t xml:space="preserve">МУП "ВОДА, ГАЗ-СЕРВИС"</t>
  </si>
  <si>
    <t>5932006014</t>
  </si>
  <si>
    <t>593201001</t>
  </si>
  <si>
    <t>26508569</t>
  </si>
  <si>
    <t xml:space="preserve">МУП "ВОДОКАНАЛ"</t>
  </si>
  <si>
    <t>5913001162</t>
  </si>
  <si>
    <t>31343556</t>
  </si>
  <si>
    <t xml:space="preserve">МУП "Водоканал Углеуральский"</t>
  </si>
  <si>
    <t>5921035870</t>
  </si>
  <si>
    <t>30884419</t>
  </si>
  <si>
    <t xml:space="preserve">МУП "Водоканал"</t>
  </si>
  <si>
    <t>5934010841</t>
  </si>
  <si>
    <t>26791118</t>
  </si>
  <si>
    <t>5916000216</t>
  </si>
  <si>
    <t>26511981</t>
  </si>
  <si>
    <t xml:space="preserve">МУП "Водоканал-1"</t>
  </si>
  <si>
    <t>5941949576</t>
  </si>
  <si>
    <t>594101001</t>
  </si>
  <si>
    <t>26512413</t>
  </si>
  <si>
    <t xml:space="preserve">МУП "Водоканал-Оса"</t>
  </si>
  <si>
    <t>5944001162</t>
  </si>
  <si>
    <t>26508888</t>
  </si>
  <si>
    <t xml:space="preserve">МУП "ГОРВОДОКАНАЛ"</t>
  </si>
  <si>
    <t>5921000780</t>
  </si>
  <si>
    <t>26511611</t>
  </si>
  <si>
    <t xml:space="preserve">МУП "ЖКХ Троельжанское"</t>
  </si>
  <si>
    <t>5917595213</t>
  </si>
  <si>
    <t>28875515</t>
  </si>
  <si>
    <t xml:space="preserve">МУП "ЖКХ" Нытвенского района</t>
  </si>
  <si>
    <t>5942002315</t>
  </si>
  <si>
    <t>31269189</t>
  </si>
  <si>
    <t xml:space="preserve">МУП "Жилищно-коммунального хозяйства Ленского сельского поселения Кунгурского муниципального района"</t>
  </si>
  <si>
    <t>5917002706</t>
  </si>
  <si>
    <t>31061285</t>
  </si>
  <si>
    <t xml:space="preserve">МУП "Ключи 2015"</t>
  </si>
  <si>
    <t>5911074197</t>
  </si>
  <si>
    <t xml:space="preserve">01-03-2018 00:00:00</t>
  </si>
  <si>
    <t>31026679</t>
  </si>
  <si>
    <t xml:space="preserve">МУП "Краснокамский водоканал"</t>
  </si>
  <si>
    <t>5916033317</t>
  </si>
  <si>
    <t xml:space="preserve">17-01-2018 00:00:00</t>
  </si>
  <si>
    <t>26653168</t>
  </si>
  <si>
    <t xml:space="preserve">МУП "Уинское ЖКХ"</t>
  </si>
  <si>
    <t>5951043685</t>
  </si>
  <si>
    <t>30365114</t>
  </si>
  <si>
    <t xml:space="preserve">МУП "Управляющая компания" Шахтинского сельского поселения Кизеловского муниципального района Пермского края</t>
  </si>
  <si>
    <t>5911073122</t>
  </si>
  <si>
    <t xml:space="preserve">08-06-2015 00:00:00</t>
  </si>
  <si>
    <t>26474160</t>
  </si>
  <si>
    <t xml:space="preserve">МУП "ЧАЙКОВСКИЙ ВОДОКАНАЛ"</t>
  </si>
  <si>
    <t>5920005217</t>
  </si>
  <si>
    <t xml:space="preserve">09-09-1996 00:00:00</t>
  </si>
  <si>
    <t>31695965</t>
  </si>
  <si>
    <t xml:space="preserve">МУП "ЯЙВА-ВОДОКАНАЛ"</t>
  </si>
  <si>
    <t>5919032760</t>
  </si>
  <si>
    <t>31387612</t>
  </si>
  <si>
    <t xml:space="preserve">МУП БМО ПК "Водоканал"</t>
  </si>
  <si>
    <t>5918217486</t>
  </si>
  <si>
    <t>26833563</t>
  </si>
  <si>
    <t xml:space="preserve">МУП Водоканал</t>
  </si>
  <si>
    <t>5912002653</t>
  </si>
  <si>
    <t>26511371</t>
  </si>
  <si>
    <t xml:space="preserve">МУП ЖКХ "БАРДЫМСКОЕ"</t>
  </si>
  <si>
    <t>5930000017</t>
  </si>
  <si>
    <t>593001001</t>
  </si>
  <si>
    <t>31005963</t>
  </si>
  <si>
    <t xml:space="preserve">Муниципальное унитарное предприятие "ТЕРРА"</t>
  </si>
  <si>
    <t>5951042177</t>
  </si>
  <si>
    <t>26513032</t>
  </si>
  <si>
    <t xml:space="preserve">ОАО "Кочеволес"</t>
  </si>
  <si>
    <t>8104000225</t>
  </si>
  <si>
    <t>810401001</t>
  </si>
  <si>
    <t>28465082</t>
  </si>
  <si>
    <t xml:space="preserve">ОМУП "ЖКХ "Гарант"</t>
  </si>
  <si>
    <t>5947000230</t>
  </si>
  <si>
    <t>26511574</t>
  </si>
  <si>
    <t xml:space="preserve">ООО  "ВОДОКАНАЛ"</t>
  </si>
  <si>
    <t>5933004588</t>
  </si>
  <si>
    <t>31605054</t>
  </si>
  <si>
    <t xml:space="preserve">ООО  "САНТЕХСЕРВИС"</t>
  </si>
  <si>
    <t>5981010077</t>
  </si>
  <si>
    <t>27859572</t>
  </si>
  <si>
    <t xml:space="preserve">ООО  "ЧеИвГруп"</t>
  </si>
  <si>
    <t>5916025436</t>
  </si>
  <si>
    <t xml:space="preserve">17-05-2011 00:00:00</t>
  </si>
  <si>
    <t>26512485</t>
  </si>
  <si>
    <t xml:space="preserve">ООО "Аква-Сервис"</t>
  </si>
  <si>
    <t>5948026312</t>
  </si>
  <si>
    <t>30879882</t>
  </si>
  <si>
    <t xml:space="preserve">ООО "БВК"</t>
  </si>
  <si>
    <t>5911077166</t>
  </si>
  <si>
    <t xml:space="preserve">01-02-2017 00:00:00</t>
  </si>
  <si>
    <t>31161509</t>
  </si>
  <si>
    <t xml:space="preserve">ООО "БЛАГО"</t>
  </si>
  <si>
    <t>5911076370</t>
  </si>
  <si>
    <t xml:space="preserve">11-07-2016 00:00:00</t>
  </si>
  <si>
    <t>27224898</t>
  </si>
  <si>
    <t xml:space="preserve">ООО "ВИСТ"</t>
  </si>
  <si>
    <t>5981005655</t>
  </si>
  <si>
    <t xml:space="preserve">28-03-2011 00:00:00</t>
  </si>
  <si>
    <t>26508531</t>
  </si>
  <si>
    <t xml:space="preserve">ООО "ВОДОКАНАЛ"</t>
  </si>
  <si>
    <t>5919004850</t>
  </si>
  <si>
    <t>26512501</t>
  </si>
  <si>
    <t xml:space="preserve">ООО "ВиКа"</t>
  </si>
  <si>
    <t>5948026295</t>
  </si>
  <si>
    <t>31481289</t>
  </si>
  <si>
    <t xml:space="preserve">ООО "Вода"</t>
  </si>
  <si>
    <t>5918218225</t>
  </si>
  <si>
    <t>31237649</t>
  </si>
  <si>
    <t xml:space="preserve">ООО "ВодоКаналСервис"</t>
  </si>
  <si>
    <t>6686109610</t>
  </si>
  <si>
    <t>668601001</t>
  </si>
  <si>
    <t>26512493</t>
  </si>
  <si>
    <t xml:space="preserve">ООО "Гидромастер"</t>
  </si>
  <si>
    <t>5948026337</t>
  </si>
  <si>
    <t>31034778</t>
  </si>
  <si>
    <t xml:space="preserve">ООО "ГолденХауз"</t>
  </si>
  <si>
    <t>5948051446</t>
  </si>
  <si>
    <t xml:space="preserve">23-01-2018 00:00:00</t>
  </si>
  <si>
    <t>31388868</t>
  </si>
  <si>
    <t xml:space="preserve">ООО "Горнозаводск Водоснабжение"</t>
  </si>
  <si>
    <t>5921035670</t>
  </si>
  <si>
    <t>28465501</t>
  </si>
  <si>
    <t xml:space="preserve">ООО "Дворянский двор"</t>
  </si>
  <si>
    <t>5902827944</t>
  </si>
  <si>
    <t>26511524</t>
  </si>
  <si>
    <t xml:space="preserve">ООО "Заполье"</t>
  </si>
  <si>
    <t>5933272026</t>
  </si>
  <si>
    <t>30881244</t>
  </si>
  <si>
    <t xml:space="preserve">ООО "Коммунальное хозяйство"</t>
  </si>
  <si>
    <t>5919027336</t>
  </si>
  <si>
    <t xml:space="preserve">14-02-2017 00:00:00</t>
  </si>
  <si>
    <t>31159600</t>
  </si>
  <si>
    <t xml:space="preserve">ООО "Компания "Правый берег"</t>
  </si>
  <si>
    <t>5916028589</t>
  </si>
  <si>
    <t xml:space="preserve">22-10-2013 00:00:00</t>
  </si>
  <si>
    <t>26512546</t>
  </si>
  <si>
    <t xml:space="preserve">ООО "Кудымкарский водоканал"</t>
  </si>
  <si>
    <t>5981006641</t>
  </si>
  <si>
    <t>26413215</t>
  </si>
  <si>
    <t xml:space="preserve">ООО "ЛУКОЙЛ-ЭНЕРГОСЕТИ"</t>
  </si>
  <si>
    <t>5260230051</t>
  </si>
  <si>
    <t>525350001</t>
  </si>
  <si>
    <t>30794832</t>
  </si>
  <si>
    <t xml:space="preserve">ООО "Лысьвенская сетевая компания-1"</t>
  </si>
  <si>
    <t>5918213315</t>
  </si>
  <si>
    <t xml:space="preserve">05-03-2013 00:00:00</t>
  </si>
  <si>
    <t xml:space="preserve">31-01-2024 00:00:00</t>
  </si>
  <si>
    <t>26512454</t>
  </si>
  <si>
    <t xml:space="preserve">ООО "Очерская управляющая компания"</t>
  </si>
  <si>
    <t>5947016230</t>
  </si>
  <si>
    <t>31747821</t>
  </si>
  <si>
    <t xml:space="preserve">ООО "Полет"</t>
  </si>
  <si>
    <t>0278982293</t>
  </si>
  <si>
    <t>027801001</t>
  </si>
  <si>
    <t>31306500</t>
  </si>
  <si>
    <t xml:space="preserve">ООО "РАССВЕТ"</t>
  </si>
  <si>
    <t>5951001572</t>
  </si>
  <si>
    <t xml:space="preserve">30-01-2013 00:00:00</t>
  </si>
  <si>
    <t>26845840</t>
  </si>
  <si>
    <t>5903061846</t>
  </si>
  <si>
    <t>28877845</t>
  </si>
  <si>
    <t xml:space="preserve">ООО "САД"</t>
  </si>
  <si>
    <t>5920031538</t>
  </si>
  <si>
    <t>30948542</t>
  </si>
  <si>
    <t xml:space="preserve">ООО "Стоксервис"</t>
  </si>
  <si>
    <t>5908071816</t>
  </si>
  <si>
    <t xml:space="preserve">04-09-2017 00:00:00</t>
  </si>
  <si>
    <t>27774388</t>
  </si>
  <si>
    <t xml:space="preserve">ООО "Строитель"</t>
  </si>
  <si>
    <t>5947014402</t>
  </si>
  <si>
    <t xml:space="preserve">06-04-2005 00:00:00</t>
  </si>
  <si>
    <t>28882557</t>
  </si>
  <si>
    <t xml:space="preserve">ООО "Стройсервисюг"</t>
  </si>
  <si>
    <t>5948995620</t>
  </si>
  <si>
    <t>26512449</t>
  </si>
  <si>
    <t>5947014699</t>
  </si>
  <si>
    <t>26506305</t>
  </si>
  <si>
    <t xml:space="preserve">ООО "УРАЛВОДОКАНАЛ"</t>
  </si>
  <si>
    <t>5914018000</t>
  </si>
  <si>
    <t xml:space="preserve">30-07-2003 00:00:00</t>
  </si>
  <si>
    <t>26790750</t>
  </si>
  <si>
    <t xml:space="preserve">ООО "Управление "ЖилСервис"</t>
  </si>
  <si>
    <t>5911062770</t>
  </si>
  <si>
    <t>28876869</t>
  </si>
  <si>
    <t xml:space="preserve">ООО "Управляющая компания "Северный"</t>
  </si>
  <si>
    <t>5916022266</t>
  </si>
  <si>
    <t>31298299</t>
  </si>
  <si>
    <t xml:space="preserve">ООО "Управляющая компания"</t>
  </si>
  <si>
    <t>5948021628</t>
  </si>
  <si>
    <t>26799749</t>
  </si>
  <si>
    <t xml:space="preserve">ООО "Уральский КомСервис"</t>
  </si>
  <si>
    <t>5916018894</t>
  </si>
  <si>
    <t xml:space="preserve">18-04-2007 00:00:00</t>
  </si>
  <si>
    <t>26513687</t>
  </si>
  <si>
    <t xml:space="preserve">ООО "Чермоз-МикроТЭК"</t>
  </si>
  <si>
    <t>5907029811</t>
  </si>
  <si>
    <t xml:space="preserve">06-06-2006 00:00:00</t>
  </si>
  <si>
    <t xml:space="preserve">29-03-2024 00:00:00</t>
  </si>
  <si>
    <t>26506131</t>
  </si>
  <si>
    <t xml:space="preserve">ООО "ЭЛЕКТРОТЯЖМАШ-ПРИВОД"</t>
  </si>
  <si>
    <t>5918838116</t>
  </si>
  <si>
    <t>773101001</t>
  </si>
  <si>
    <t>31077149</t>
  </si>
  <si>
    <t xml:space="preserve">ООО "Энергетическая производственная компания"</t>
  </si>
  <si>
    <t>5906150847</t>
  </si>
  <si>
    <t xml:space="preserve">11-04-2018 00:00:00</t>
  </si>
  <si>
    <t>26512487</t>
  </si>
  <si>
    <t xml:space="preserve">ООО "Юг-Сервис"</t>
  </si>
  <si>
    <t>5948026320</t>
  </si>
  <si>
    <t>29648337</t>
  </si>
  <si>
    <t xml:space="preserve">ООО "ЯР"</t>
  </si>
  <si>
    <t>5904151193</t>
  </si>
  <si>
    <t xml:space="preserve">08-09-2015 00:00:00</t>
  </si>
  <si>
    <t>31284202</t>
  </si>
  <si>
    <t xml:space="preserve">ООО «Водолей»</t>
  </si>
  <si>
    <t>5933011049</t>
  </si>
  <si>
    <t xml:space="preserve">28-03-2024 00:00:00</t>
  </si>
  <si>
    <t>31268031</t>
  </si>
  <si>
    <t xml:space="preserve">ООО «Городские коммунальные системы»</t>
  </si>
  <si>
    <t>5904358737</t>
  </si>
  <si>
    <t>28467496</t>
  </si>
  <si>
    <t xml:space="preserve">ООО «ЛУКОЙЛ-ПЕРМЬ»</t>
  </si>
  <si>
    <t>5902201970</t>
  </si>
  <si>
    <t>28153324</t>
  </si>
  <si>
    <t xml:space="preserve">ООО «Телец - Агро»</t>
  </si>
  <si>
    <t>5917001004</t>
  </si>
  <si>
    <t>31361055</t>
  </si>
  <si>
    <t xml:space="preserve">ООО «Яйвинский Жилищно-Коммунальный Сервис»</t>
  </si>
  <si>
    <t>5911079928</t>
  </si>
  <si>
    <t>26511518</t>
  </si>
  <si>
    <t xml:space="preserve">ООО АП "ЗАРЯ ПУТИНО"</t>
  </si>
  <si>
    <t>5933271520</t>
  </si>
  <si>
    <t>30894001</t>
  </si>
  <si>
    <t xml:space="preserve">ООО Санаторий "Демидково"</t>
  </si>
  <si>
    <t>5914015640</t>
  </si>
  <si>
    <t xml:space="preserve">04-04-2000 00:00:00</t>
  </si>
  <si>
    <t>30390277</t>
  </si>
  <si>
    <t xml:space="preserve">Общество с ограниченной ответственностью "Пермь-Монолит"</t>
  </si>
  <si>
    <t>5904010883</t>
  </si>
  <si>
    <t xml:space="preserve">26-12-2002 00:00:00</t>
  </si>
  <si>
    <t>31152273</t>
  </si>
  <si>
    <t xml:space="preserve">Общество с ограниченной ответственностью "Управляющая компания "Управление и Финансы"</t>
  </si>
  <si>
    <t>5921027990</t>
  </si>
  <si>
    <t xml:space="preserve">05-04-2011 00:00:00</t>
  </si>
  <si>
    <t>28079923</t>
  </si>
  <si>
    <t xml:space="preserve">ПРУ ООО «ЛУКОЙЛ-ЭНЕРГОСЕТИ»</t>
  </si>
  <si>
    <t>596001001</t>
  </si>
  <si>
    <t>30892324</t>
  </si>
  <si>
    <t xml:space="preserve">СХПК "РОССИЯ"</t>
  </si>
  <si>
    <t>8101000410</t>
  </si>
  <si>
    <t xml:space="preserve">02-12-2002 00:00:00</t>
  </si>
  <si>
    <t>26512542</t>
  </si>
  <si>
    <t xml:space="preserve">УМП "ВКХ"</t>
  </si>
  <si>
    <t>5957005598</t>
  </si>
  <si>
    <t>26770918</t>
  </si>
  <si>
    <t xml:space="preserve">ФГУП РТРС</t>
  </si>
  <si>
    <t>7717127211</t>
  </si>
  <si>
    <t>590602001</t>
  </si>
  <si>
    <t xml:space="preserve">02-12-2015 00:00:00</t>
  </si>
  <si>
    <t>31683384</t>
  </si>
  <si>
    <t xml:space="preserve">АО "ПФ ЧАЙКОВСКАЯ"</t>
  </si>
  <si>
    <t>5954000224</t>
  </si>
  <si>
    <t>31021344</t>
  </si>
  <si>
    <t xml:space="preserve">ИП Еловикова Ольга Николаевна</t>
  </si>
  <si>
    <t>590408733527</t>
  </si>
  <si>
    <t>31669236</t>
  </si>
  <si>
    <t xml:space="preserve">МБУ  "ПОЛИГОН"</t>
  </si>
  <si>
    <t>5904405426</t>
  </si>
  <si>
    <t>27606633</t>
  </si>
  <si>
    <t xml:space="preserve">ООО "ГолденПлат"</t>
  </si>
  <si>
    <t>5948040892</t>
  </si>
  <si>
    <t>26512458</t>
  </si>
  <si>
    <t xml:space="preserve">ООО "Комплекс "А"</t>
  </si>
  <si>
    <t>5947013744</t>
  </si>
  <si>
    <t>27677400</t>
  </si>
  <si>
    <t xml:space="preserve">ООО "Птицефабрика "Менделеевская"</t>
  </si>
  <si>
    <t>5933008039</t>
  </si>
  <si>
    <t>30915913</t>
  </si>
  <si>
    <t xml:space="preserve">ООО "СТОК"</t>
  </si>
  <si>
    <t>5911073161</t>
  </si>
  <si>
    <t xml:space="preserve">18-05-2017 00:00:00</t>
  </si>
  <si>
    <t>30830040</t>
  </si>
  <si>
    <t xml:space="preserve">ООО "Союз НД"</t>
  </si>
  <si>
    <t>5905273395</t>
  </si>
  <si>
    <t xml:space="preserve">15-08-2016 00:00:00</t>
  </si>
  <si>
    <t>31288413</t>
  </si>
  <si>
    <t xml:space="preserve">ООО "Тодос-М"</t>
  </si>
  <si>
    <t>5911013331</t>
  </si>
  <si>
    <t>30388988</t>
  </si>
  <si>
    <t xml:space="preserve">ООО «Объединенная кабельная компания»</t>
  </si>
  <si>
    <t>5907046920</t>
  </si>
  <si>
    <t xml:space="preserve">15-01-2016 00:00:00</t>
  </si>
  <si>
    <t>28221899</t>
  </si>
  <si>
    <t xml:space="preserve">ООО «ПермИнвестСтрой»</t>
  </si>
  <si>
    <t>5904235446</t>
  </si>
  <si>
    <t>31587558</t>
  </si>
  <si>
    <t xml:space="preserve">АО "ПРО ТКО"</t>
  </si>
  <si>
    <t>5903153085</t>
  </si>
  <si>
    <t xml:space="preserve">05-05-2022 00:00:00</t>
  </si>
  <si>
    <t>31741674</t>
  </si>
  <si>
    <t xml:space="preserve">ИП Каштанова Наталья Викторовна</t>
  </si>
  <si>
    <t>450206428113</t>
  </si>
  <si>
    <t>31669990</t>
  </si>
  <si>
    <t xml:space="preserve">МБУ МО ЛГО "КОМБИНАТ БЛАГОУСТРОЙСТВА"</t>
  </si>
  <si>
    <t>5918219934</t>
  </si>
  <si>
    <t>26513115</t>
  </si>
  <si>
    <t xml:space="preserve">МУП "Полигон ТБО"</t>
  </si>
  <si>
    <t>5921020786</t>
  </si>
  <si>
    <t>31443610</t>
  </si>
  <si>
    <t xml:space="preserve">ОБЩЕСТВО С ОГРАНИЧЕННОЙ ОТВЕТСТВЕННОСТЬЮ ГОРНОЗАВОДСКИЙ "КОМБИНАТ БЛАГОУСТРОЙСТВА"</t>
  </si>
  <si>
    <t>5921036440</t>
  </si>
  <si>
    <t>31381467</t>
  </si>
  <si>
    <t xml:space="preserve">ООО "Альянс"</t>
  </si>
  <si>
    <t>5944207646</t>
  </si>
  <si>
    <t>31714146</t>
  </si>
  <si>
    <t xml:space="preserve">ООО "Астронг"</t>
  </si>
  <si>
    <t>5906116211</t>
  </si>
  <si>
    <t>26513109</t>
  </si>
  <si>
    <t xml:space="preserve">ООО "Буматика"</t>
  </si>
  <si>
    <t>2129045996</t>
  </si>
  <si>
    <t>30389420</t>
  </si>
  <si>
    <t>5904137287</t>
  </si>
  <si>
    <t xml:space="preserve">18-01-2016 00:00:00</t>
  </si>
  <si>
    <t>31542703</t>
  </si>
  <si>
    <t xml:space="preserve">ООО "ВКБ"</t>
  </si>
  <si>
    <t>5981009586</t>
  </si>
  <si>
    <t>28454806</t>
  </si>
  <si>
    <t xml:space="preserve">ООО "Внешнее благоустройство"</t>
  </si>
  <si>
    <t>5957014088</t>
  </si>
  <si>
    <t>28455943</t>
  </si>
  <si>
    <t xml:space="preserve">ООО "Кама-1"</t>
  </si>
  <si>
    <t>5914019684</t>
  </si>
  <si>
    <t>31416196</t>
  </si>
  <si>
    <t xml:space="preserve">ООО "Меркурий"</t>
  </si>
  <si>
    <t>5957011048</t>
  </si>
  <si>
    <t>31520984</t>
  </si>
  <si>
    <t xml:space="preserve">ООО "ПКЭО"</t>
  </si>
  <si>
    <t>5911082945</t>
  </si>
  <si>
    <t xml:space="preserve">14-10-2021 00:00:00</t>
  </si>
  <si>
    <t>28934813</t>
  </si>
  <si>
    <t xml:space="preserve">ООО "Пермский Завод Переработки и Утилизации Эко-Система"</t>
  </si>
  <si>
    <t>5904190202</t>
  </si>
  <si>
    <t>31733364</t>
  </si>
  <si>
    <t xml:space="preserve">ООО "Пермский узел переработки отходов"</t>
  </si>
  <si>
    <t>5904312933</t>
  </si>
  <si>
    <t>31707599</t>
  </si>
  <si>
    <t xml:space="preserve">ООО "Рециклинг"</t>
  </si>
  <si>
    <t>5904137671</t>
  </si>
  <si>
    <t>28455936</t>
  </si>
  <si>
    <t xml:space="preserve">ООО "Транс-Эффект"</t>
  </si>
  <si>
    <t>5948035081</t>
  </si>
  <si>
    <t>31421346</t>
  </si>
  <si>
    <t xml:space="preserve">ООО "УралРегионСнаб"</t>
  </si>
  <si>
    <t>5948057769</t>
  </si>
  <si>
    <t>31719500</t>
  </si>
  <si>
    <t xml:space="preserve">ООО "Флагман"</t>
  </si>
  <si>
    <t>5906159991</t>
  </si>
  <si>
    <t>27598614</t>
  </si>
  <si>
    <t xml:space="preserve">ООО "ЭКО"</t>
  </si>
  <si>
    <t>5916018809</t>
  </si>
  <si>
    <t>26513127</t>
  </si>
  <si>
    <t xml:space="preserve">ООО "Эко-город"</t>
  </si>
  <si>
    <t>8107012123</t>
  </si>
  <si>
    <t>30878879</t>
  </si>
  <si>
    <t xml:space="preserve">ООО "ЭкоАльянс"</t>
  </si>
  <si>
    <t>5921031611</t>
  </si>
  <si>
    <t xml:space="preserve">20-03-2015 00:00:00</t>
  </si>
  <si>
    <t>26513107</t>
  </si>
  <si>
    <t xml:space="preserve">ООО "ЭкоПлан"</t>
  </si>
  <si>
    <t>5911061960</t>
  </si>
  <si>
    <t>27735029</t>
  </si>
  <si>
    <t xml:space="preserve">ООО "ЭкоТранс"</t>
  </si>
  <si>
    <t>5921027982</t>
  </si>
  <si>
    <t>31739656</t>
  </si>
  <si>
    <t xml:space="preserve">ООО "Экол"</t>
  </si>
  <si>
    <t>5906137476</t>
  </si>
  <si>
    <t>30424981</t>
  </si>
  <si>
    <t xml:space="preserve">ООО «ТК «Орион»</t>
  </si>
  <si>
    <t>5902881726</t>
  </si>
  <si>
    <t>NSRF</t>
  </si>
  <si>
    <t>MR_NAME</t>
  </si>
  <si>
    <t>OKTMO_MR_NAME</t>
  </si>
  <si>
    <t>MO_NAME</t>
  </si>
  <si>
    <t>OKTMO_NAME</t>
  </si>
  <si>
    <t>TYPE</t>
  </si>
  <si>
    <t>MR_ID</t>
  </si>
  <si>
    <t xml:space="preserve">Александровский муниципальный округ</t>
  </si>
  <si>
    <t>57502000</t>
  </si>
  <si>
    <t xml:space="preserve">муниципальный округ</t>
  </si>
  <si>
    <t xml:space="preserve">Бардымский муниципальный округ</t>
  </si>
  <si>
    <t>57503000</t>
  </si>
  <si>
    <t xml:space="preserve">Березовский муниципальный округ</t>
  </si>
  <si>
    <t>57506000</t>
  </si>
  <si>
    <t xml:space="preserve">Большесосновский муниципальный округ</t>
  </si>
  <si>
    <t>57508000</t>
  </si>
  <si>
    <t xml:space="preserve">Верещагинский городской округ</t>
  </si>
  <si>
    <t>57712000</t>
  </si>
  <si>
    <t xml:space="preserve">городской округ</t>
  </si>
  <si>
    <t xml:space="preserve">Гайнский муниципальный округ</t>
  </si>
  <si>
    <t>57513000</t>
  </si>
  <si>
    <t xml:space="preserve">Горнозаводский городской округ</t>
  </si>
  <si>
    <t>57714000</t>
  </si>
  <si>
    <t xml:space="preserve">Губахинский муниципальный округ</t>
  </si>
  <si>
    <t>57516000</t>
  </si>
  <si>
    <t xml:space="preserve">Еловский муниципальный округ</t>
  </si>
  <si>
    <t>57518000</t>
  </si>
  <si>
    <t xml:space="preserve">ЗАТО Звездный</t>
  </si>
  <si>
    <t>57763000</t>
  </si>
  <si>
    <t xml:space="preserve">Ильинский городской округ</t>
  </si>
  <si>
    <t>57759000</t>
  </si>
  <si>
    <t xml:space="preserve">Карагайский муниципальный округ</t>
  </si>
  <si>
    <t>57522000</t>
  </si>
  <si>
    <t xml:space="preserve">Кишертский муниципальный округ</t>
  </si>
  <si>
    <t>57524000</t>
  </si>
  <si>
    <t xml:space="preserve">Косинский муниципальный округ</t>
  </si>
  <si>
    <t>57525000</t>
  </si>
  <si>
    <t xml:space="preserve">Кочевский муниципальный округ</t>
  </si>
  <si>
    <t>57526000</t>
  </si>
  <si>
    <t xml:space="preserve">Красновишерский городской округ</t>
  </si>
  <si>
    <t>57760000</t>
  </si>
  <si>
    <t xml:space="preserve">Краснокамский городской округ</t>
  </si>
  <si>
    <t>57720000</t>
  </si>
  <si>
    <t xml:space="preserve">Кудымкарский муниципальный округ</t>
  </si>
  <si>
    <t>57528000</t>
  </si>
  <si>
    <t xml:space="preserve">Куединский муниципальный округ</t>
  </si>
  <si>
    <t>57529000</t>
  </si>
  <si>
    <t xml:space="preserve">Кунгурский муниципальный округ</t>
  </si>
  <si>
    <t>57530000</t>
  </si>
  <si>
    <t xml:space="preserve">Лысьвенский городской округ</t>
  </si>
  <si>
    <t>57726000</t>
  </si>
  <si>
    <t xml:space="preserve">Нытвенский городской округ</t>
  </si>
  <si>
    <t>57727000</t>
  </si>
  <si>
    <t xml:space="preserve">Октябрьский городской округ</t>
  </si>
  <si>
    <t>57761000</t>
  </si>
  <si>
    <t xml:space="preserve">Ординский муниципальный округ</t>
  </si>
  <si>
    <t>57538000</t>
  </si>
  <si>
    <t xml:space="preserve">Осинский городской округ</t>
  </si>
  <si>
    <t>57728000</t>
  </si>
  <si>
    <t xml:space="preserve">Оханский городской округ</t>
  </si>
  <si>
    <t>57729000</t>
  </si>
  <si>
    <t xml:space="preserve">Очерский городской округ</t>
  </si>
  <si>
    <t>57762000</t>
  </si>
  <si>
    <t xml:space="preserve">Пермский городской округ</t>
  </si>
  <si>
    <t>57701000</t>
  </si>
  <si>
    <t xml:space="preserve">Пермский муниципальный округ</t>
  </si>
  <si>
    <t>57546000</t>
  </si>
  <si>
    <t xml:space="preserve">Сивинский муниципальный округ</t>
  </si>
  <si>
    <t>57548000</t>
  </si>
  <si>
    <t xml:space="preserve">Соликамский городской округ</t>
  </si>
  <si>
    <t>57730000</t>
  </si>
  <si>
    <t xml:space="preserve">Суксунский городской округ</t>
  </si>
  <si>
    <t>57731000</t>
  </si>
  <si>
    <t xml:space="preserve">Уинский муниципальный округ</t>
  </si>
  <si>
    <t>57552000</t>
  </si>
  <si>
    <t xml:space="preserve">Чайковский городской округ</t>
  </si>
  <si>
    <t>57735000</t>
  </si>
  <si>
    <t xml:space="preserve">Частинский муниципальный округ</t>
  </si>
  <si>
    <t>57555000</t>
  </si>
  <si>
    <t xml:space="preserve">Чердынский городской округ</t>
  </si>
  <si>
    <t>57756000</t>
  </si>
  <si>
    <t xml:space="preserve">Чернушинский городской округ</t>
  </si>
  <si>
    <t>57757000</t>
  </si>
  <si>
    <t xml:space="preserve">Чусовской городской округ</t>
  </si>
  <si>
    <t>57758000</t>
  </si>
  <si>
    <t xml:space="preserve">Юрлинский муниципальный округ</t>
  </si>
  <si>
    <t>57559000</t>
  </si>
  <si>
    <t xml:space="preserve">Юсьвинский муниципальный округ</t>
  </si>
  <si>
    <t>57560000</t>
  </si>
  <si>
    <t xml:space="preserve">город Березники</t>
  </si>
  <si>
    <t>57708000</t>
  </si>
  <si>
    <t xml:space="preserve">город Кизел</t>
  </si>
  <si>
    <t>57719000</t>
  </si>
  <si>
    <t>NUMBER_POINT</t>
  </si>
  <si>
    <t>INVP_NAME</t>
  </si>
  <si>
    <t>INVP_ID</t>
  </si>
  <si>
    <t>L_START_DATE</t>
  </si>
  <si>
    <t>L_END_DATE</t>
  </si>
  <si>
    <t>L_DECISION_NAME</t>
  </si>
  <si>
    <t>L_DECISION_TYPE</t>
  </si>
  <si>
    <t>L_DECISION_NMBR</t>
  </si>
  <si>
    <t>L_DECISION_DATE</t>
  </si>
  <si>
    <t>TER_NAME</t>
  </si>
  <si>
    <t xml:space="preserve">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</si>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</sst>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name val="Tahoma"/>
    </font>
    <font>
      <sz val="11.000000"/>
      <color indexed="65"/>
      <name val="Tahoma"/>
    </font>
    <font>
      <b/>
      <sz val="10.000000"/>
      <name val="Tahoma"/>
    </font>
    <font>
      <u/>
      <sz val="20.000000"/>
      <color indexed="56"/>
      <name val="Tahoma"/>
    </font>
    <font>
      <sz val="10.000000"/>
      <name val="Tahoma"/>
    </font>
    <font>
      <b/>
      <sz val="10.000000"/>
      <color/>
      <name val="Tahoma"/>
    </font>
    <font>
      <sz val="11.000000"/>
      <color/>
      <name val="Marlett"/>
    </font>
    <font>
      <sz val="10.000000"/>
      <color/>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name val="Tahoma"/>
    </font>
    <font>
      <sz val="12.000000"/>
      <color/>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name val="Arial"/>
    </font>
    <font>
      <sz val="18.000000"/>
      <color theme="0"/>
      <name val="Tahoma"/>
    </font>
    <font>
      <u/>
      <sz val="9.000000"/>
      <name val="Tahoma"/>
    </font>
    <font>
      <b/>
      <sz val="9.000000"/>
      <color indexed="65"/>
      <name val="Tahoma"/>
    </font>
    <font>
      <sz val="9.000000"/>
      <color indexed="62"/>
      <name val="Tahoma"/>
    </font>
    <font>
      <b/>
      <sz val="9.000000"/>
      <color/>
      <name val="Tahoma"/>
    </font>
    <font>
      <b/>
      <sz val="8.000000"/>
      <color theme="0"/>
      <name val="Wingdings 2"/>
    </font>
    <font>
      <b/>
      <sz val="8.000000"/>
      <color indexed="22"/>
      <name val="Wingdings 2"/>
    </font>
    <font>
      <sz val="8.000000"/>
      <color indexed="18"/>
      <name val="Tahoma"/>
    </font>
    <font>
      <sz val="7.000000"/>
      <color/>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left>
      <right style="thin">
        <color/>
      </right>
      <top style="thin">
        <color/>
      </top>
      <bottom style="thin">
        <color/>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top>
      <bottom style="dotted">
        <color/>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55">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27" fillId="39" borderId="23" numFmtId="49" xfId="0" applyNumberFormat="1" applyFont="1" applyFill="1" applyBorder="1" applyAlignment="1">
      <alignment horizontal="left" indent="1" vertical="center" wrapText="1"/>
      <protection locked="0"/>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45" fillId="0" borderId="23" numFmtId="49" xfId="0" applyNumberFormat="1" applyFont="1" applyBorder="1" applyAlignment="1">
      <alignment horizontal="center" vertical="center" wrapText="1"/>
    </xf>
    <xf fontId="45" fillId="0" borderId="21" numFmtId="49" xfId="0" applyNumberFormat="1" applyFont="1" applyBorder="1" applyAlignment="1">
      <alignment horizontal="left" vertical="center" wrapText="1"/>
    </xf>
    <xf fontId="22" fillId="41" borderId="42" numFmtId="49" xfId="0" applyNumberFormat="1" applyFont="1" applyFill="1" applyBorder="1" applyAlignment="1">
      <alignment horizontal="center"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0" fillId="42" borderId="25" numFmtId="0" xfId="0" applyFill="1" applyBorder="1" applyAlignment="1">
      <alignment vertical="center"/>
    </xf>
    <xf fontId="70" fillId="42" borderId="34" numFmtId="0" xfId="0" applyFont="1" applyFill="1" applyBorder="1" applyAlignment="1">
      <alignment horizontal="left" vertical="center"/>
    </xf>
    <xf fontId="70" fillId="42" borderId="20" numFmtId="0" xfId="0" applyFont="1" applyFill="1" applyBorder="1" applyAlignment="1">
      <alignment horizontal="left" vertical="center"/>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0" fillId="0" borderId="23" numFmtId="168" xfId="0" applyNumberFormat="1" applyBorder="1" applyAlignment="1">
      <alignment horizontal="left" indent="1"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0" borderId="0" numFmtId="0" xfId="75" applyFont="1" applyAlignment="1">
      <alignment vertical="center" wrapText="1"/>
    </xf>
    <xf fontId="22" fillId="38" borderId="21" numFmtId="0" xfId="75" applyFont="1" applyFill="1" applyBorder="1" applyAlignment="1">
      <alignment horizontal="left" vertical="center" wrapText="1"/>
    </xf>
    <xf fontId="22" fillId="38" borderId="25" numFmtId="0" xfId="75" applyFont="1" applyFill="1" applyBorder="1" applyAlignment="1">
      <alignment horizontal="left" vertical="center" wrapText="1"/>
    </xf>
    <xf fontId="22" fillId="38" borderId="20" numFmtId="0" xfId="75" applyFont="1" applyFill="1" applyBorder="1" applyAlignment="1">
      <alignment horizontal="left" vertical="center" wrapText="1"/>
    </xf>
    <xf fontId="22" fillId="36" borderId="21" numFmtId="0" xfId="75" applyFont="1" applyFill="1" applyBorder="1" applyAlignment="1">
      <alignment horizontal="left" vertical="center" wrapText="1"/>
      <protection locked="0"/>
    </xf>
    <xf fontId="22" fillId="36" borderId="25" numFmtId="0" xfId="75" applyFont="1" applyFill="1" applyBorder="1" applyAlignment="1">
      <alignment horizontal="left" vertical="center" wrapText="1"/>
      <protection locked="0"/>
    </xf>
    <xf fontId="22" fillId="36" borderId="20" numFmtId="0" xfId="75" applyFont="1" applyFill="1" applyBorder="1" applyAlignment="1">
      <alignment horizontal="left" vertical="center" wrapText="1"/>
      <protection locked="0"/>
    </xf>
    <xf fontId="22" fillId="41" borderId="21" numFmtId="0" xfId="75" applyFont="1" applyFill="1" applyBorder="1" applyAlignment="1">
      <alignment horizontal="left" vertical="center" wrapText="1"/>
    </xf>
    <xf fontId="22" fillId="41" borderId="25" numFmtId="0" xfId="75" applyFont="1" applyFill="1" applyBorder="1" applyAlignment="1">
      <alignment horizontal="left" vertical="center" wrapText="1"/>
    </xf>
    <xf fontId="22" fillId="41" borderId="20" numFmtId="0" xfId="75" applyFont="1" applyFill="1" applyBorder="1" applyAlignment="1">
      <alignment horizontal="left" vertical="center" wrapText="1"/>
    </xf>
    <xf fontId="22" fillId="36" borderId="23" numFmtId="4" xfId="75" applyNumberFormat="1" applyFont="1" applyFill="1" applyBorder="1" applyAlignment="1">
      <alignment horizontal="right" vertical="center" wrapText="1"/>
      <protection locked="0"/>
    </xf>
    <xf fontId="22" fillId="36" borderId="23" numFmtId="166" xfId="75" applyNumberFormat="1" applyFont="1" applyFill="1" applyBorder="1" applyAlignment="1">
      <alignment horizontal="right" vertical="center" wrapText="1"/>
      <protection locked="0"/>
    </xf>
    <xf fontId="0" fillId="39" borderId="23" numFmtId="168" xfId="75" applyNumberFormat="1" applyFill="1" applyBorder="1" applyAlignment="1">
      <alignment horizontal="center" vertical="center" wrapText="1"/>
      <protection locked="0"/>
    </xf>
    <xf fontId="22" fillId="41" borderId="23" numFmtId="49" xfId="75" applyNumberFormat="1" applyFont="1" applyFill="1" applyBorder="1" applyAlignment="1">
      <alignment horizontal="center" vertical="center" wrapText="1"/>
    </xf>
    <xf fontId="22" fillId="0" borderId="23" numFmtId="4" xfId="75" applyNumberFormat="1" applyFont="1" applyBorder="1" applyAlignment="1">
      <alignment horizontal="right" vertical="center" wrapText="1"/>
    </xf>
    <xf fontId="45" fillId="0" borderId="23" numFmtId="4" xfId="75" applyNumberFormat="1" applyFont="1" applyBorder="1" applyAlignment="1">
      <alignment horizontal="center" vertical="center" wrapText="1"/>
    </xf>
    <xf fontId="0" fillId="39" borderId="23" numFmtId="49" xfId="75" applyNumberFormat="1" applyFill="1" applyBorder="1" applyAlignment="1">
      <alignment horizontal="center" vertical="center" wrapText="1"/>
      <protection locked="0"/>
    </xf>
    <xf fontId="22" fillId="42" borderId="25" numFmtId="49" xfId="75" applyNumberFormat="1" applyFont="1" applyFill="1" applyBorder="1" applyAlignment="1">
      <alignment horizontal="center" vertical="center" wrapText="1"/>
    </xf>
    <xf fontId="0" fillId="42" borderId="25" numFmtId="49" xfId="75" applyNumberFormat="1" applyFill="1" applyBorder="1" applyAlignment="1">
      <alignment horizontal="center" vertical="center" wrapText="1"/>
    </xf>
    <xf fontId="45" fillId="0" borderId="0" numFmtId="49" xfId="75" applyNumberFormat="1" applyFont="1" applyAlignment="1">
      <alignment horizontal="center" vertical="center" wrapText="1"/>
    </xf>
    <xf fontId="43" fillId="0" borderId="0" numFmtId="0" xfId="75" applyFont="1" applyAlignment="1">
      <alignment vertical="center" wrapText="1"/>
    </xf>
    <xf fontId="43" fillId="0" borderId="23" numFmtId="49" xfId="75" applyNumberFormat="1" applyFont="1" applyBorder="1" applyAlignment="1">
      <alignment vertical="center" wrapText="1"/>
    </xf>
    <xf fontId="43" fillId="0" borderId="0" numFmtId="0" xfId="75" applyFont="1" applyAlignment="1">
      <alignment vertical="center"/>
    </xf>
    <xf fontId="22" fillId="0" borderId="26" numFmtId="0" xfId="75" applyFont="1" applyBorder="1" applyAlignment="1">
      <alignment horizontal="left" indent="1" vertical="top" wrapText="1"/>
    </xf>
    <xf fontId="22" fillId="0" borderId="45" numFmtId="0" xfId="75" applyFont="1" applyBorder="1" applyAlignment="1">
      <alignment horizontal="left" indent="1" vertical="center" wrapText="1"/>
    </xf>
    <xf fontId="51" fillId="40" borderId="0" numFmtId="0" xfId="75" applyFont="1" applyFill="1" applyAlignment="1">
      <alignment horizontal="center" vertical="center" wrapText="1"/>
    </xf>
    <xf fontId="22" fillId="38" borderId="23" numFmtId="0" xfId="75" applyFont="1" applyFill="1" applyBorder="1" applyAlignment="1">
      <alignment horizontal="left" indent="1" vertical="center" wrapText="1"/>
    </xf>
    <xf fontId="22" fillId="38" borderId="23" numFmtId="168" xfId="75" applyNumberFormat="1" applyFont="1" applyFill="1" applyBorder="1" applyAlignment="1">
      <alignment horizontal="left" indent="1" vertical="center" wrapText="1"/>
    </xf>
    <xf fontId="45" fillId="0" borderId="0" numFmtId="0" xfId="75" applyFont="1" applyAlignment="1">
      <alignment vertical="center" wrapText="1"/>
    </xf>
    <xf fontId="61" fillId="0" borderId="45" numFmtId="0" xfId="75" applyFont="1" applyBorder="1" applyAlignment="1">
      <alignment horizontal="center" vertical="center" wrapText="1"/>
    </xf>
    <xf fontId="22" fillId="0" borderId="23" numFmtId="0" xfId="75" applyFont="1" applyBorder="1" applyAlignment="1">
      <alignment horizontal="center" vertical="center" wrapText="1"/>
    </xf>
    <xf fontId="0" fillId="40" borderId="21" numFmtId="0" xfId="75" applyFill="1" applyBorder="1" applyAlignment="1">
      <alignment horizontal="center" vertical="center" wrapText="1"/>
    </xf>
    <xf fontId="0" fillId="40" borderId="25" numFmtId="0" xfId="75" applyFill="1" applyBorder="1" applyAlignment="1">
      <alignment horizontal="center" vertical="center" wrapText="1"/>
    </xf>
    <xf fontId="0" fillId="40" borderId="20" numFmtId="0" xfId="75" applyFill="1" applyBorder="1" applyAlignment="1">
      <alignment horizontal="center" vertical="center" wrapText="1"/>
    </xf>
    <xf fontId="22" fillId="40" borderId="32" numFmtId="0" xfId="75" applyFont="1" applyFill="1" applyBorder="1" applyAlignment="1">
      <alignment horizontal="center" vertical="center" wrapText="1"/>
    </xf>
    <xf fontId="22" fillId="0" borderId="32" numFmtId="0" xfId="75" applyFont="1" applyBorder="1" applyAlignment="1">
      <alignment horizontal="center" vertical="center" wrapText="1"/>
    </xf>
    <xf fontId="22" fillId="0" borderId="21" numFmtId="0" xfId="75" applyFont="1" applyBorder="1" applyAlignment="1">
      <alignment horizontal="center" vertical="center" wrapText="1"/>
    </xf>
    <xf fontId="22" fillId="0" borderId="20" numFmtId="0" xfId="75" applyFont="1" applyBorder="1" applyAlignment="1">
      <alignment horizontal="center" vertical="center" wrapText="1"/>
    </xf>
    <xf fontId="22" fillId="40" borderId="42" numFmtId="0" xfId="75" applyFont="1" applyFill="1" applyBorder="1" applyAlignment="1">
      <alignment horizontal="center" vertical="center" wrapText="1"/>
    </xf>
    <xf fontId="0" fillId="0" borderId="23" numFmtId="0" xfId="75" applyBorder="1" applyAlignment="1">
      <alignment horizontal="center" vertical="center" wrapText="1"/>
    </xf>
    <xf fontId="0" fillId="0" borderId="20" numFmtId="0" xfId="75" applyBorder="1" applyAlignment="1">
      <alignment horizontal="center" vertical="center" wrapText="1"/>
    </xf>
    <xf fontId="22" fillId="40" borderId="30" numFmtId="0" xfId="75" applyFont="1" applyFill="1" applyBorder="1" applyAlignment="1">
      <alignment horizontal="center" vertical="center" wrapText="1"/>
    </xf>
    <xf fontId="94" fillId="40" borderId="26" numFmtId="0" xfId="75" applyFont="1" applyFill="1" applyBorder="1" applyAlignment="1">
      <alignment horizontal="center" vertical="center" wrapText="1"/>
    </xf>
    <xf fontId="22" fillId="0" borderId="0" numFmtId="0" xfId="75" applyFont="1" applyAlignment="1">
      <alignment horizontal="left" vertical="top"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7" fillId="39" borderId="23" numFmtId="49" xfId="0" applyNumberFormat="1" applyFont="1" applyFill="1" applyBorder="1" applyAlignment="1">
      <alignment horizontal="left" vertical="center" wrapText="1"/>
      <protection locked="0"/>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B80A33F8-C1A9-E487-BDB4-65FB5B3A982A}"/>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B80A33F8-C1A9-E487-BDB4-65FB5B3A982A}" id="{00E30018-00AA-4740-9A44-00C8000C009C}"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B80A33F8-C1A9-E487-BDB4-65FB5B3A982A}" id="{000C0022-0088-4394-A7D1-00C400FC00E3}" done="0">
    <text xml:space="preserve">Тип организации
</text>
  </threadedComment>
  <threadedComment ref="L6" personId="{B80A33F8-C1A9-E487-BDB4-65FB5B3A982A}" id="{00C300E9-0022-4694-8070-00CA002A00C5}"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B80A33F8-C1A9-E487-BDB4-65FB5B3A982A}" id="{0090002E-0027-46F4-9748-0050009700DF}" done="0">
    <text xml:space="preserve">сюда же для некоторых формул может входить:
- VOTV
- HOTVSNA
</text>
  </threadedComment>
  <threadedComment ref="U2" personId="{B80A33F8-C1A9-E487-BDB4-65FB5B3A982A}" id="{00830056-00B5-4CA0-B1F2-009C00F60033}"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4" Type="http://schemas.openxmlformats.org/officeDocument/2006/relationships/vmlDrawing" Target="../drawings/vmlDrawing1.vml"/><Relationship  Id="rId3" Type="http://schemas.openxmlformats.org/officeDocument/2006/relationships/comments" Target="../comments1.xml"/><Relationship  Id="rId2" Type="http://schemas.microsoft.com/office/2017/10/relationships/threadedComment" Target="../threadedComments/threadedComment1.xml"/><Relationship  Id="rId1" Type="http://schemas.openxmlformats.org/officeDocument/2006/relationships/hyperlink" Target="mailto:devyatova_lv@interrao.ru" TargetMode="External"/></Relationships>
</file>

<file path=xl/worksheets/_rels/sheet48.xml.rels><?xml version="1.0" encoding="UTF-8" standalone="yes"?><Relationships xmlns="http://schemas.openxmlformats.org/package/2006/relationships"><Relationship  Id="rId1" Type="http://schemas.openxmlformats.org/officeDocument/2006/relationships/hyperlink" Target="https://portal.eias.ru/Portal/DownloadPage.aspx?type=12&amp;guid=9f912c07-6d08-42b8-aaa0-7b810b64b36b" TargetMode="External"/></Relationships>
</file>

<file path=xl/worksheets/_rels/sheet49.xml.rels><?xml version="1.0" encoding="UTF-8" standalone="yes"?><Relationships xmlns="http://schemas.openxmlformats.org/package/2006/relationships"><Relationship  Id="rId3" Type="http://schemas.openxmlformats.org/officeDocument/2006/relationships/hyperlink" Target="https://zakupki.gov.ru/epz/order/extendedsearch/results.html" TargetMode="External"/><Relationship  Id="rId2" Type="http://schemas.openxmlformats.org/officeDocument/2006/relationships/hyperlink" Target="https://zakupki.gov.ru/epz/organization/view223/info.html?agencyId=12496" TargetMode="External"/><Relationship  Id="rId1" Type="http://schemas.openxmlformats.org/officeDocument/2006/relationships/hyperlink" Target="https://regportal-tariff.ru/disclo/get_file?p_guid=f06a16db-6d14-4e31-894d-fa6bcbcf46c6"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0" deleteRows="0" formatCells="1" formatColumns="0" formatRows="0" insertColumns="1" insertHyperlinks="1" insertRows="0" pivotTables="1" selectLockedCells="0" selectUnlockedCells="0" sheet="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8"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9" width="7.00390625"/>
    <col customWidth="1" min="14" max="22" style="50" width="10.00390625"/>
    <col hidden="1" min="23" max="23" style="50" width="10.57421875"/>
  </cols>
  <sheetData>
    <row r="1" s="57" customFormat="1" ht="5.25" hidden="1" customHeight="1">
      <c r="C1" s="57"/>
      <c r="D1" s="132"/>
      <c r="F1" s="57"/>
      <c r="G1" s="57" t="s">
        <v>83</v>
      </c>
      <c r="H1" s="57" t="s">
        <v>84</v>
      </c>
      <c r="I1" s="57" t="s">
        <v>85</v>
      </c>
      <c r="P1" s="57" t="s">
        <v>83</v>
      </c>
      <c r="Q1" s="57" t="s">
        <v>84</v>
      </c>
      <c r="R1" s="57" t="s">
        <v>85</v>
      </c>
      <c r="W1" s="57" t="s">
        <v>14</v>
      </c>
    </row>
    <row r="2" s="57" customFormat="1" ht="5.25" hidden="1" customHeight="1">
      <c r="C2" s="57"/>
      <c r="D2" s="132"/>
      <c r="F2" s="57"/>
      <c r="W2" s="57">
        <v>0</v>
      </c>
    </row>
    <row r="3" s="65" customFormat="1" ht="5.25" customHeight="1">
      <c r="A3" s="425"/>
      <c r="D3" s="426"/>
      <c r="E3" s="68"/>
      <c r="F3" s="68"/>
      <c r="G3" s="68"/>
      <c r="H3" s="68"/>
      <c r="I3" s="467"/>
      <c r="J3" s="468"/>
      <c r="K3" s="468"/>
      <c r="L3" s="468"/>
      <c r="W3" s="65">
        <v>5</v>
      </c>
    </row>
    <row r="4" ht="23.25" customHeight="1">
      <c r="D4" s="396"/>
      <c r="E4" s="185" t="s">
        <v>390</v>
      </c>
      <c r="F4" s="185"/>
      <c r="G4" s="186"/>
      <c r="H4" s="186"/>
      <c r="I4" s="187"/>
      <c r="J4" s="421"/>
      <c r="K4" s="469"/>
      <c r="L4" s="469"/>
      <c r="W4" s="50">
        <v>22</v>
      </c>
    </row>
    <row r="5" s="50" customFormat="1" ht="18" customHeight="1">
      <c r="A5" s="56"/>
      <c r="D5" s="396"/>
      <c r="E5" s="422" t="str">
        <f>IF(org=0,"Не определено",org)</f>
        <v xml:space="preserve">филиал Пермская ГРЭС АО "Интер РАО - Электрогенерация"</v>
      </c>
      <c r="F5" s="422"/>
      <c r="G5" s="423"/>
      <c r="H5" s="423"/>
      <c r="I5" s="424"/>
      <c r="J5" s="421"/>
      <c r="K5" s="469"/>
      <c r="L5" s="469"/>
      <c r="M5" s="139"/>
      <c r="W5" s="50">
        <v>17</v>
      </c>
    </row>
    <row r="6" s="65" customFormat="1" ht="11.5" customHeight="1">
      <c r="A6" s="425"/>
      <c r="D6" s="426"/>
      <c r="E6" s="68"/>
      <c r="F6" s="68"/>
      <c r="G6" s="470"/>
      <c r="H6" s="470"/>
      <c r="I6" s="427"/>
      <c r="J6" s="427"/>
      <c r="K6" s="356"/>
      <c r="L6" s="427"/>
      <c r="W6" s="65">
        <v>11</v>
      </c>
    </row>
    <row r="7" ht="14.65" customHeight="1">
      <c r="D7" s="396"/>
      <c r="E7" s="361" t="s">
        <v>302</v>
      </c>
      <c r="F7" s="361"/>
      <c r="G7" s="362"/>
      <c r="H7" s="362"/>
      <c r="I7" s="362"/>
      <c r="J7" s="362"/>
      <c r="K7" s="362"/>
      <c r="L7" s="246" t="s">
        <v>303</v>
      </c>
      <c r="W7" s="50">
        <v>14</v>
      </c>
    </row>
    <row r="8" ht="48.25" customHeight="1">
      <c r="D8" s="396"/>
      <c r="E8" s="362" t="s">
        <v>88</v>
      </c>
      <c r="F8" s="362"/>
      <c r="G8" s="157" t="s">
        <v>86</v>
      </c>
      <c r="H8" s="157" t="s">
        <v>87</v>
      </c>
      <c r="I8" s="246" t="s">
        <v>85</v>
      </c>
      <c r="J8" s="246" t="s">
        <v>391</v>
      </c>
      <c r="K8" s="246" t="s">
        <v>392</v>
      </c>
      <c r="L8" s="246"/>
      <c r="W8" s="50">
        <v>46</v>
      </c>
    </row>
    <row r="9" ht="12" hidden="1" customHeight="1">
      <c r="D9" s="438"/>
      <c r="E9" s="471"/>
      <c r="F9" s="471"/>
      <c r="G9" s="471"/>
      <c r="H9" s="471"/>
      <c r="I9" s="471"/>
      <c r="J9" s="471"/>
      <c r="K9" s="471"/>
      <c r="L9" s="471"/>
      <c r="M9" s="50"/>
      <c r="W9" s="50">
        <v>0</v>
      </c>
    </row>
    <row r="10" ht="14.25" hidden="1" customHeight="1">
      <c r="A10" s="50"/>
      <c r="B10" s="50"/>
      <c r="D10" s="396"/>
      <c r="E10" s="157">
        <v>0</v>
      </c>
      <c r="F10" s="157"/>
      <c r="G10" s="472"/>
      <c r="H10" s="472"/>
      <c r="I10" s="472"/>
      <c r="J10" s="472"/>
      <c r="K10" s="472"/>
      <c r="L10" s="452" t="s">
        <v>393</v>
      </c>
      <c r="M10" s="139"/>
      <c r="N10" s="50"/>
      <c r="O10" s="50"/>
      <c r="P10" s="50"/>
      <c r="Q10" s="50"/>
      <c r="R10" s="50"/>
      <c r="S10" s="50"/>
      <c r="T10" s="50"/>
      <c r="U10" s="50"/>
      <c r="V10" s="50"/>
      <c r="W10" s="50">
        <v>0</v>
      </c>
    </row>
    <row r="11" ht="15" hidden="1" customHeight="1">
      <c r="A11" s="51"/>
      <c r="B11" s="143"/>
      <c r="C11" s="143"/>
      <c r="D11" s="473"/>
      <c r="E11" s="474"/>
      <c r="F11" s="474"/>
      <c r="G11" s="474"/>
      <c r="H11" s="474"/>
      <c r="I11" s="214"/>
      <c r="J11" s="475"/>
      <c r="K11" s="476"/>
      <c r="L11" s="477"/>
      <c r="M11" s="57"/>
      <c r="N11" s="57"/>
      <c r="O11" s="57"/>
      <c r="P11" s="478"/>
      <c r="Q11" s="478"/>
      <c r="R11" s="479"/>
      <c r="S11" s="57"/>
      <c r="T11" s="57"/>
      <c r="U11" s="57"/>
      <c r="V11" s="57"/>
      <c r="W11" s="50">
        <v>0</v>
      </c>
    </row>
    <row r="12" s="65" customFormat="1" ht="15" customHeight="1">
      <c r="A12" s="51"/>
      <c r="B12" s="143"/>
      <c r="C12" s="143"/>
      <c r="D12" s="480"/>
      <c r="E12" s="362">
        <v>1</v>
      </c>
      <c r="F12" s="481">
        <v>23</v>
      </c>
      <c r="G12" s="482"/>
      <c r="H12" s="164"/>
      <c r="I12" s="165"/>
      <c r="J12" s="483" t="s">
        <v>66</v>
      </c>
      <c r="K12" s="484" t="s">
        <v>28</v>
      </c>
      <c r="L12" s="477"/>
      <c r="M12" s="57"/>
      <c r="N12" s="57"/>
      <c r="O12" s="57"/>
      <c r="P12" s="478" t="s">
        <v>394</v>
      </c>
      <c r="Q12" s="478" t="s">
        <v>395</v>
      </c>
      <c r="R12" s="479" t="s">
        <v>396</v>
      </c>
      <c r="S12" s="57" t="s">
        <v>397</v>
      </c>
      <c r="T12" s="57"/>
      <c r="U12" s="57"/>
      <c r="V12" s="57"/>
      <c r="W12" s="65">
        <v>14</v>
      </c>
    </row>
    <row r="13" ht="15.75" customHeight="1">
      <c r="A13" s="51"/>
      <c r="B13" s="50"/>
      <c r="D13" s="396"/>
      <c r="E13" s="453"/>
      <c r="F13" s="485"/>
      <c r="G13" s="177" t="s">
        <v>102</v>
      </c>
      <c r="H13" s="486"/>
      <c r="I13" s="486"/>
      <c r="J13" s="486"/>
      <c r="K13" s="487"/>
      <c r="L13" s="458"/>
      <c r="M13" s="50"/>
      <c r="N13" s="50"/>
      <c r="O13" s="50"/>
      <c r="P13" s="50"/>
      <c r="Q13" s="50"/>
      <c r="R13" s="50"/>
      <c r="S13" s="50"/>
      <c r="T13" s="50"/>
      <c r="U13" s="50"/>
      <c r="V13" s="50"/>
      <c r="W13" s="50">
        <v>15</v>
      </c>
    </row>
    <row r="14" ht="11.5" customHeight="1">
      <c r="A14" s="425"/>
      <c r="B14" s="65"/>
      <c r="C14" s="65"/>
      <c r="D14" s="488"/>
      <c r="E14" s="65"/>
      <c r="F14" s="65"/>
      <c r="G14" s="65"/>
      <c r="H14" s="65"/>
      <c r="I14" s="65"/>
      <c r="J14" s="65"/>
      <c r="K14" s="65"/>
      <c r="L14" s="65"/>
      <c r="M14" s="65"/>
      <c r="N14" s="65"/>
      <c r="O14" s="65"/>
      <c r="P14" s="65"/>
      <c r="Q14" s="65"/>
      <c r="R14" s="65"/>
      <c r="S14" s="65"/>
      <c r="T14" s="65"/>
      <c r="U14" s="65"/>
      <c r="V14" s="65"/>
      <c r="W14" s="50">
        <v>11</v>
      </c>
    </row>
    <row r="15" ht="14.65" customHeight="1">
      <c r="D15" s="489"/>
      <c r="E15" s="490"/>
      <c r="F15" s="490"/>
      <c r="G15" s="4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89"/>
      <c r="I15" s="489"/>
      <c r="J15" s="489"/>
      <c r="K15" s="489"/>
      <c r="L15" s="489"/>
      <c r="W15" s="50">
        <v>14</v>
      </c>
    </row>
    <row r="16" ht="14.65" customHeight="1">
      <c r="W16" s="50">
        <v>14</v>
      </c>
    </row>
    <row r="17" ht="14.65" customHeight="1">
      <c r="W17" s="50">
        <v>14</v>
      </c>
    </row>
    <row r="18" ht="14.65" customHeight="1">
      <c r="G18" s="50"/>
      <c r="W18" s="50">
        <v>14</v>
      </c>
    </row>
    <row r="19" ht="22.5" hidden="1" customHeight="1">
      <c r="A19" s="56" t="s">
        <v>82</v>
      </c>
      <c r="B19" s="50">
        <v>0</v>
      </c>
      <c r="C19" s="50">
        <v>0</v>
      </c>
      <c r="D19" s="128">
        <v>3</v>
      </c>
      <c r="E19" s="50">
        <v>6</v>
      </c>
      <c r="F19" s="50">
        <v>0</v>
      </c>
      <c r="G19" s="50">
        <v>30</v>
      </c>
      <c r="H19" s="50">
        <v>30</v>
      </c>
      <c r="I19" s="50">
        <v>8</v>
      </c>
      <c r="J19" s="50">
        <v>12</v>
      </c>
      <c r="K19" s="50">
        <v>46</v>
      </c>
      <c r="L19" s="50">
        <v>100</v>
      </c>
      <c r="M19" s="139">
        <v>7</v>
      </c>
      <c r="N19" s="50">
        <v>10</v>
      </c>
      <c r="O19" s="50">
        <v>10</v>
      </c>
      <c r="P19" s="50">
        <v>10</v>
      </c>
      <c r="Q19" s="50">
        <v>10</v>
      </c>
      <c r="R19" s="50">
        <v>10</v>
      </c>
      <c r="S19" s="50">
        <v>10</v>
      </c>
      <c r="T19" s="50">
        <v>10</v>
      </c>
      <c r="U19" s="50">
        <v>10</v>
      </c>
      <c r="V19" s="50">
        <v>10</v>
      </c>
      <c r="W19" s="50">
        <v>23</v>
      </c>
    </row>
  </sheetData>
  <sheetProtection autoFilter="0" deleteColumns="0" deleteRows="0" formatCells="1" formatColumns="0" formatRows="0" insertColumns="1" insertHyperlinks="1" insertRows="0" pivotTables="1" selectLockedCells="0" selectUnlockedCells="0" sheet="0" sort="0"/>
  <mergeCells count="6">
    <mergeCell ref="A11:A13"/>
    <mergeCell ref="E4:I4"/>
    <mergeCell ref="E7:K7"/>
    <mergeCell ref="L7:L8"/>
    <mergeCell ref="L10:L13"/>
    <mergeCell ref="E5:I5"/>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A00BF-005D-46C4-BE12-00D30032005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 xr:uid="{00850086-00E0-4EE9-ABB7-009100B300A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398</v>
      </c>
      <c r="AO2" s="129"/>
      <c r="AP2" s="129" t="str">
        <f t="shared" ref="AP2:AP9" si="2">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400</v>
      </c>
      <c r="AO3" s="129"/>
      <c r="AP3" s="129" t="str">
        <f t="shared" si="2"/>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401</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402</v>
      </c>
      <c r="AO4" s="129"/>
      <c r="AP4" s="129" t="str">
        <f t="shared" si="2"/>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7"/>
      <c r="S5" s="498" t="e">
        <f>INDEX(PT_DIFFERENTIATION_NUM_IST_TE,MATCH(D5,PT_DIFFERENTIATION_IST_TE_ID,0))</f>
        <v>#VALUE!</v>
      </c>
      <c r="T5" s="511" t="s">
        <v>403</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404</v>
      </c>
      <c r="AO5" s="129"/>
      <c r="AP5" s="129" t="str">
        <f t="shared" si="2"/>
        <v xml:space="preserve">Источник тепловой энергии</v>
      </c>
      <c r="AQ5" s="129"/>
      <c r="AR5" s="129"/>
      <c r="AS5" s="50">
        <v>0</v>
      </c>
    </row>
    <row r="6" ht="47.25" hidden="1" customHeight="1">
      <c r="A6" s="493"/>
      <c r="B6" s="493"/>
      <c r="C6" s="493"/>
      <c r="D6" s="493"/>
      <c r="E6" s="505"/>
      <c r="F6" s="505"/>
      <c r="G6" s="505"/>
      <c r="H6" s="505"/>
      <c r="I6" s="512" t="e">
        <f>S5&amp;".1"</f>
        <v>#VALUE!</v>
      </c>
      <c r="J6" s="493"/>
      <c r="K6" s="493"/>
      <c r="L6" s="495" t="s">
        <v>405</v>
      </c>
      <c r="M6" s="53"/>
      <c r="P6" s="132">
        <v>1</v>
      </c>
      <c r="Q6" s="132"/>
      <c r="R6" s="513"/>
      <c r="S6" s="498" t="e">
        <f>$I6</f>
        <v>#VALUE!</v>
      </c>
      <c r="T6" s="514" t="s">
        <v>406</v>
      </c>
      <c r="U6" s="500"/>
      <c r="V6" s="445"/>
      <c r="W6" s="515"/>
      <c r="X6" s="515"/>
      <c r="Y6" s="515"/>
      <c r="Z6" s="515"/>
      <c r="AA6" s="515"/>
      <c r="AB6" s="515"/>
      <c r="AC6" s="516"/>
      <c r="AD6" s="445"/>
      <c r="AE6" s="515"/>
      <c r="AF6" s="515"/>
      <c r="AG6" s="515"/>
      <c r="AH6" s="515"/>
      <c r="AI6" s="515"/>
      <c r="AJ6" s="515"/>
      <c r="AK6" s="515"/>
      <c r="AL6" s="516"/>
      <c r="AM6" s="504" t="s">
        <v>407</v>
      </c>
      <c r="AO6" s="129"/>
      <c r="AP6" s="129" t="str">
        <f t="shared" si="2"/>
        <v xml:space="preserve">Схема подключения теплопотребляющей установки к коллектору источника тепловой энергии</v>
      </c>
      <c r="AQ6" s="129"/>
      <c r="AR6" s="129"/>
      <c r="AS6" s="50">
        <v>0</v>
      </c>
    </row>
    <row r="7" ht="21" hidden="1" customHeight="1">
      <c r="A7" s="493"/>
      <c r="B7" s="493"/>
      <c r="C7" s="493"/>
      <c r="D7" s="493"/>
      <c r="E7" s="505"/>
      <c r="F7" s="505"/>
      <c r="G7" s="505"/>
      <c r="H7" s="505"/>
      <c r="I7" s="517"/>
      <c r="J7" s="512" t="e">
        <f>I6&amp;".1"</f>
        <v>#VALUE!</v>
      </c>
      <c r="K7" s="493"/>
      <c r="L7" s="495" t="s">
        <v>408</v>
      </c>
      <c r="M7" s="53"/>
      <c r="N7" s="53"/>
      <c r="P7" s="132"/>
      <c r="Q7" s="132">
        <v>1</v>
      </c>
      <c r="R7" s="518"/>
      <c r="S7" s="498" t="e">
        <f>$J7</f>
        <v>#VALUE!</v>
      </c>
      <c r="T7" s="519" t="s">
        <v>409</v>
      </c>
      <c r="U7" s="500"/>
      <c r="V7" s="445"/>
      <c r="W7" s="515"/>
      <c r="X7" s="515"/>
      <c r="Y7" s="515"/>
      <c r="Z7" s="515"/>
      <c r="AA7" s="515"/>
      <c r="AB7" s="515"/>
      <c r="AC7" s="516"/>
      <c r="AD7" s="445"/>
      <c r="AE7" s="515"/>
      <c r="AF7" s="515"/>
      <c r="AG7" s="515"/>
      <c r="AH7" s="515"/>
      <c r="AI7" s="515"/>
      <c r="AJ7" s="515"/>
      <c r="AK7" s="515"/>
      <c r="AL7" s="516"/>
      <c r="AM7" s="504" t="s">
        <v>410</v>
      </c>
      <c r="AO7" s="129"/>
      <c r="AP7" s="129" t="str">
        <f t="shared" si="2"/>
        <v xml:space="preserve">Группа потребителей</v>
      </c>
      <c r="AQ7" s="129"/>
      <c r="AR7" s="129"/>
      <c r="AS7" s="50">
        <v>0</v>
      </c>
    </row>
    <row r="8" ht="21" hidden="1" customHeight="1">
      <c r="A8" s="493"/>
      <c r="B8" s="493"/>
      <c r="C8" s="493"/>
      <c r="D8" s="493"/>
      <c r="E8" s="505"/>
      <c r="F8" s="505"/>
      <c r="G8" s="505"/>
      <c r="H8" s="505"/>
      <c r="I8" s="517"/>
      <c r="J8" s="517"/>
      <c r="K8" s="512" t="e">
        <f>J7&amp;".1"</f>
        <v>#VALUE!</v>
      </c>
      <c r="L8" s="495" t="s">
        <v>411</v>
      </c>
      <c r="M8" s="53"/>
      <c r="N8" s="53"/>
      <c r="O8" s="53"/>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412</v>
      </c>
      <c r="AN8" s="57" t="e">
        <f>STRCHECKDATE(V9:AL9)</f>
        <v>#NAME?</v>
      </c>
      <c r="AO8" s="129"/>
      <c r="AP8" s="129" t="str">
        <f t="shared" si="2"/>
        <v/>
      </c>
      <c r="AQ8" s="129"/>
      <c r="AR8" s="129"/>
      <c r="AS8" s="50">
        <v>0</v>
      </c>
    </row>
    <row r="9" ht="0.7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2"/>
        <v/>
      </c>
      <c r="AQ9" s="129"/>
      <c r="AR9" s="129"/>
      <c r="AS9" s="50">
        <v>0</v>
      </c>
    </row>
    <row r="10" ht="15" hidden="1" customHeight="1">
      <c r="A10" s="493"/>
      <c r="B10" s="493"/>
      <c r="C10" s="493"/>
      <c r="D10" s="493"/>
      <c r="E10" s="505"/>
      <c r="F10" s="505"/>
      <c r="G10" s="505"/>
      <c r="H10" s="505"/>
      <c r="I10" s="517"/>
      <c r="J10" s="512"/>
      <c r="K10" s="493"/>
      <c r="L10" s="495"/>
      <c r="M10" s="53"/>
      <c r="N10" s="53"/>
      <c r="P10" s="132"/>
      <c r="Q10" s="132"/>
      <c r="R10" s="513"/>
      <c r="S10" s="529"/>
      <c r="T10" s="530" t="s">
        <v>413</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3">IF(T10="","",T10)</f>
        <v xml:space="preserve">Добавить вид теплоносителя (параметры теплоносителя)</v>
      </c>
      <c r="AQ10" s="129"/>
      <c r="AR10" s="129"/>
      <c r="AS10" s="50">
        <v>0</v>
      </c>
    </row>
    <row r="11" ht="15" hidden="1" customHeight="1">
      <c r="A11" s="493"/>
      <c r="B11" s="493"/>
      <c r="C11" s="493"/>
      <c r="D11" s="493"/>
      <c r="E11" s="505"/>
      <c r="F11" s="505"/>
      <c r="G11" s="505"/>
      <c r="H11" s="505"/>
      <c r="I11" s="512"/>
      <c r="J11" s="493"/>
      <c r="K11" s="493"/>
      <c r="L11" s="495"/>
      <c r="M11" s="53"/>
      <c r="P11" s="132"/>
      <c r="Q11" s="132"/>
      <c r="R11" s="513"/>
      <c r="S11" s="529"/>
      <c r="T11" s="533" t="s">
        <v>414</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3"/>
        <v xml:space="preserve">Добавить группу потребителей</v>
      </c>
      <c r="AQ11" s="129"/>
      <c r="AR11" s="129"/>
      <c r="AS11" s="50">
        <v>0</v>
      </c>
    </row>
    <row r="12" ht="14.25" hidden="1" customHeight="1">
      <c r="A12" s="493"/>
      <c r="B12" s="493"/>
      <c r="C12" s="493"/>
      <c r="D12" s="493"/>
      <c r="E12" s="505"/>
      <c r="F12" s="505"/>
      <c r="G12" s="505"/>
      <c r="H12" s="494"/>
      <c r="I12" s="493"/>
      <c r="J12" s="493"/>
      <c r="K12" s="493"/>
      <c r="L12" s="495"/>
      <c r="M12" s="496"/>
      <c r="N12" s="496"/>
      <c r="O12" s="53"/>
      <c r="P12" s="143"/>
      <c r="Q12" s="536"/>
      <c r="R12" s="497"/>
      <c r="S12" s="529"/>
      <c r="T12" s="537" t="s">
        <v>415</v>
      </c>
      <c r="U12" s="214"/>
      <c r="V12" s="214"/>
      <c r="W12" s="214"/>
      <c r="X12" s="214"/>
      <c r="Y12" s="214"/>
      <c r="Z12" s="214"/>
      <c r="AA12" s="214"/>
      <c r="AB12" s="214"/>
      <c r="AC12" s="534"/>
      <c r="AD12" s="214"/>
      <c r="AE12" s="214"/>
      <c r="AF12" s="214"/>
      <c r="AG12" s="214"/>
      <c r="AH12" s="214"/>
      <c r="AI12" s="214"/>
      <c r="AJ12" s="214"/>
      <c r="AK12" s="534"/>
      <c r="AL12" s="214"/>
      <c r="AM12" s="535"/>
      <c r="AO12" s="129"/>
      <c r="AP12" s="129" t="str">
        <f t="shared" si="3"/>
        <v xml:space="preserve">Добавить схему подключения</v>
      </c>
      <c r="AQ12" s="129"/>
      <c r="AR12" s="129"/>
      <c r="AS12" s="50">
        <v>0</v>
      </c>
    </row>
    <row r="13" s="57" customFormat="1" ht="0.75" hidden="1" customHeight="1">
      <c r="A13" s="133"/>
      <c r="B13" s="133"/>
      <c r="C13" s="133"/>
      <c r="D13" s="133"/>
      <c r="E13" s="505"/>
      <c r="F13" s="505"/>
      <c r="G13" s="494"/>
      <c r="H13" s="133"/>
      <c r="I13" s="133"/>
      <c r="J13" s="133"/>
      <c r="K13" s="133"/>
      <c r="L13" s="212"/>
      <c r="M13" s="478"/>
      <c r="N13" s="478"/>
      <c r="P13" s="167"/>
      <c r="Q13" s="538"/>
      <c r="R13" s="167"/>
      <c r="S13" s="539"/>
      <c r="T13" s="540" t="s">
        <v>416</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3"/>
        <v xml:space="preserve">Добавить источник для дифференциации</v>
      </c>
      <c r="AQ13" s="129"/>
      <c r="AR13" s="129"/>
      <c r="AS13" s="57">
        <v>0</v>
      </c>
    </row>
    <row r="14" s="57" customFormat="1" ht="0.75" hidden="1" customHeight="1">
      <c r="A14" s="133"/>
      <c r="B14" s="133"/>
      <c r="C14" s="133"/>
      <c r="D14" s="133"/>
      <c r="E14" s="505"/>
      <c r="F14" s="494"/>
      <c r="G14" s="133"/>
      <c r="H14" s="133"/>
      <c r="I14" s="133"/>
      <c r="J14" s="133"/>
      <c r="K14" s="133"/>
      <c r="L14" s="212"/>
      <c r="M14" s="542"/>
      <c r="N14" s="542"/>
      <c r="P14" s="167"/>
      <c r="Q14" s="538"/>
      <c r="R14" s="167"/>
      <c r="S14" s="543"/>
      <c r="T14" s="544" t="s">
        <v>238</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94"/>
      <c r="F15" s="133"/>
      <c r="G15" s="133"/>
      <c r="H15" s="133"/>
      <c r="I15" s="133"/>
      <c r="J15" s="133"/>
      <c r="K15" s="133"/>
      <c r="L15" s="212"/>
      <c r="M15" s="542"/>
      <c r="N15" s="542"/>
      <c r="P15" s="167"/>
      <c r="Q15" s="538"/>
      <c r="R15" s="167"/>
      <c r="S15" s="543"/>
      <c r="T15" s="546" t="s">
        <v>239</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3"/>
        <v xml:space="preserve">Добавить территорию для дифференциации</v>
      </c>
      <c r="AQ15" s="129"/>
      <c r="AR15" s="129"/>
      <c r="AS15" s="57">
        <v>0</v>
      </c>
    </row>
    <row r="16" ht="14.25" hidden="1" customHeight="1">
      <c r="AC16" s="50"/>
      <c r="AK16" s="50"/>
      <c r="AS16" s="50">
        <v>0</v>
      </c>
    </row>
    <row r="17" ht="14.25" hidden="1" customHeight="1">
      <c r="P17" s="60"/>
      <c r="AD17" s="547"/>
      <c r="AE17" s="547"/>
      <c r="AF17" s="547"/>
      <c r="AG17" s="548"/>
      <c r="AH17" s="549"/>
      <c r="AI17" s="550" t="s">
        <v>66</v>
      </c>
      <c r="AJ17" s="549"/>
      <c r="AK17" s="550" t="s">
        <v>66</v>
      </c>
      <c r="AS17" s="50">
        <v>0</v>
      </c>
    </row>
    <row r="18" ht="14.25" hidden="1" customHeight="1">
      <c r="P18" s="60"/>
      <c r="AD18" s="547"/>
      <c r="AE18" s="547"/>
      <c r="AF18" s="547"/>
      <c r="AG18" s="526" t="str">
        <f>AH17&amp;"-"&amp;AJ17</f>
        <v>-</v>
      </c>
      <c r="AH18" s="550"/>
      <c r="AI18" s="550"/>
      <c r="AJ18" s="550"/>
      <c r="AK18" s="550"/>
      <c r="AS18" s="50">
        <v>0</v>
      </c>
    </row>
    <row r="19" ht="14.25" hidden="1" customHeight="1">
      <c r="P19" s="60"/>
      <c r="AK19" s="50"/>
      <c r="AS19" s="50">
        <v>0</v>
      </c>
    </row>
    <row r="20" s="53" customFormat="1" ht="22.5" hidden="1" customHeight="1">
      <c r="L20" s="113"/>
      <c r="M20" s="61"/>
      <c r="N20" s="61"/>
      <c r="O20" s="551" t="s">
        <v>417</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14.25" hidden="1" customHeight="1">
      <c r="L22" s="113"/>
      <c r="M22" s="61"/>
      <c r="N22" s="61"/>
      <c r="O22" s="495" t="s">
        <v>418</v>
      </c>
      <c r="P22" s="61"/>
      <c r="Q22" s="552"/>
      <c r="R22" s="552"/>
      <c r="S22" s="496"/>
      <c r="T22" s="53" t="s">
        <v>419</v>
      </c>
      <c r="AA22" s="151" t="s">
        <v>420</v>
      </c>
      <c r="AC22" s="151" t="s">
        <v>421</v>
      </c>
      <c r="AD22" s="53" t="s">
        <v>419</v>
      </c>
      <c r="AI22" s="151" t="s">
        <v>422</v>
      </c>
      <c r="AK22" s="151" t="s">
        <v>421</v>
      </c>
      <c r="AN22" s="57"/>
      <c r="AO22" s="57"/>
      <c r="AP22" s="57"/>
      <c r="AQ22" s="57"/>
      <c r="AR22" s="57"/>
      <c r="AS22" s="53">
        <v>0</v>
      </c>
    </row>
    <row r="23" ht="14.25" hidden="1" customHeight="1">
      <c r="O23" s="495"/>
      <c r="P23" s="60"/>
      <c r="AS23" s="50">
        <v>0</v>
      </c>
    </row>
    <row r="24" ht="14.25" hidden="1" customHeight="1">
      <c r="O24" s="495"/>
      <c r="P24" s="60"/>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14.65" customHeight="1">
      <c r="Q26" s="553"/>
      <c r="R26" s="553"/>
      <c r="S26" s="466"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6"/>
      <c r="U26" s="466"/>
      <c r="V26" s="466"/>
      <c r="W26" s="466"/>
      <c r="X26" s="466"/>
      <c r="Y26" s="466"/>
      <c r="Z26" s="466"/>
      <c r="AA26" s="466"/>
      <c r="AB26" s="466"/>
      <c r="AC26" s="466"/>
      <c r="AD26" s="466"/>
      <c r="AE26" s="466"/>
      <c r="AF26" s="466"/>
      <c r="AG26" s="466"/>
      <c r="AH26" s="466"/>
      <c r="AI26" s="466"/>
      <c r="AJ26" s="466"/>
      <c r="AK26" s="240"/>
      <c r="AS26" s="50">
        <v>14</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423</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424</v>
      </c>
      <c r="T31" s="556"/>
      <c r="U31" s="557"/>
      <c r="V31" s="558" t="str">
        <f>IF(TITLE_NUMBER_PR_CHANGE="",IF(TITLE_NUMBER_PR="","",TITLE_NUMBER_PR),TITLE_NUMBER_PR_CHANGE)</f>
        <v>ПГ/01/950</v>
      </c>
      <c r="W31" s="558"/>
      <c r="X31" s="558"/>
      <c r="Y31" s="558"/>
      <c r="Z31" s="558"/>
      <c r="AA31" s="558"/>
      <c r="AB31" s="558"/>
      <c r="AC31" s="50"/>
      <c r="AD31" s="558" t="str">
        <f>IF(TITLE_NUMBER_PR_CHANGE="",IF(TITLE_NUMBER_PR="","",TITLE_NUMBER_PR),TITLE_NUMBER_PR_CHANGE)</f>
        <v>ПГ/01/950</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P33" s="60"/>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425</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customHeight="1">
      <c r="A35" s="151"/>
      <c r="B35" s="151"/>
      <c r="C35" s="151"/>
      <c r="D35" s="151"/>
      <c r="E35" s="151"/>
      <c r="F35" s="151"/>
      <c r="G35" s="151"/>
      <c r="H35" s="151"/>
      <c r="I35" s="151"/>
      <c r="J35" s="151"/>
      <c r="K35" s="151"/>
      <c r="L35" s="495"/>
      <c r="M35" s="151"/>
      <c r="N35" s="151"/>
      <c r="O35" s="151"/>
      <c r="S35" s="556" t="s">
        <v>426</v>
      </c>
      <c r="T35" s="556"/>
      <c r="U35" s="557"/>
      <c r="V35" s="558" t="str">
        <f>IF(TITLE_NUMBER_PR_CHANGE="",IF(TITLE_NUMBER_PR="","",TITLE_NUMBER_PR),TITLE_NUMBER_PR_CHANGE)</f>
        <v>ПГ/01/950</v>
      </c>
      <c r="W35" s="558"/>
      <c r="X35" s="558"/>
      <c r="Y35" s="558"/>
      <c r="Z35" s="558"/>
      <c r="AA35" s="558"/>
      <c r="AB35" s="558"/>
      <c r="AC35" s="50"/>
      <c r="AD35" s="558" t="str">
        <f>IF(TITLE_NUMBER_PR_CHANGE="",IF(TITLE_NUMBER_PR="","",TITLE_NUMBER_PR),TITLE_NUMBER_PR_CHANGE)</f>
        <v>ПГ/01/950</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427</v>
      </c>
      <c r="AD36" s="50"/>
      <c r="AE36" s="50"/>
      <c r="AF36" s="50"/>
      <c r="AG36" s="50"/>
      <c r="AH36" s="50"/>
      <c r="AI36" s="50"/>
      <c r="AJ36" s="50"/>
      <c r="AK36" s="57" t="s">
        <v>427</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302</v>
      </c>
      <c r="T38" s="157"/>
      <c r="U38" s="157"/>
      <c r="V38" s="157"/>
      <c r="W38" s="157"/>
      <c r="X38" s="157"/>
      <c r="Y38" s="157"/>
      <c r="Z38" s="157"/>
      <c r="AA38" s="157"/>
      <c r="AB38" s="157"/>
      <c r="AC38" s="157"/>
      <c r="AD38" s="157"/>
      <c r="AE38" s="157"/>
      <c r="AF38" s="157"/>
      <c r="AG38" s="157"/>
      <c r="AH38" s="157"/>
      <c r="AI38" s="157"/>
      <c r="AJ38" s="157"/>
      <c r="AK38" s="157"/>
      <c r="AL38" s="157"/>
      <c r="AM38" s="157" t="s">
        <v>303</v>
      </c>
      <c r="AS38" s="50">
        <v>14</v>
      </c>
    </row>
    <row r="39" ht="14.65" customHeight="1">
      <c r="Q39" s="553"/>
      <c r="R39" s="553"/>
      <c r="S39" s="498" t="s">
        <v>88</v>
      </c>
      <c r="T39" s="362" t="s">
        <v>428</v>
      </c>
      <c r="U39" s="563"/>
      <c r="V39" s="564" t="s">
        <v>429</v>
      </c>
      <c r="W39" s="565"/>
      <c r="X39" s="565"/>
      <c r="Y39" s="565"/>
      <c r="Z39" s="565"/>
      <c r="AA39" s="565"/>
      <c r="AB39" s="566"/>
      <c r="AC39" s="567" t="s">
        <v>430</v>
      </c>
      <c r="AD39" s="564" t="s">
        <v>429</v>
      </c>
      <c r="AE39" s="565"/>
      <c r="AF39" s="565"/>
      <c r="AG39" s="565"/>
      <c r="AH39" s="565"/>
      <c r="AI39" s="565"/>
      <c r="AJ39" s="566"/>
      <c r="AK39" s="567" t="s">
        <v>431</v>
      </c>
      <c r="AL39" s="568" t="s">
        <v>432</v>
      </c>
      <c r="AM39" s="157"/>
      <c r="AS39" s="50">
        <v>14</v>
      </c>
    </row>
    <row r="40" ht="35.649999999999999" customHeight="1">
      <c r="Q40" s="553"/>
      <c r="R40" s="553"/>
      <c r="S40" s="498"/>
      <c r="T40" s="362"/>
      <c r="U40" s="569"/>
      <c r="V40" s="324" t="s">
        <v>433</v>
      </c>
      <c r="W40" s="570" t="s">
        <v>434</v>
      </c>
      <c r="X40" s="73" t="s">
        <v>435</v>
      </c>
      <c r="Y40" s="72"/>
      <c r="Z40" s="73" t="s">
        <v>436</v>
      </c>
      <c r="AA40" s="145"/>
      <c r="AB40" s="72"/>
      <c r="AC40" s="571"/>
      <c r="AD40" s="324" t="s">
        <v>433</v>
      </c>
      <c r="AE40" s="570" t="s">
        <v>434</v>
      </c>
      <c r="AF40" s="73" t="s">
        <v>435</v>
      </c>
      <c r="AG40" s="72"/>
      <c r="AH40" s="73" t="s">
        <v>436</v>
      </c>
      <c r="AI40" s="145"/>
      <c r="AJ40" s="72"/>
      <c r="AK40" s="571"/>
      <c r="AL40" s="572"/>
      <c r="AM40" s="157"/>
      <c r="AS40" s="50">
        <v>34</v>
      </c>
    </row>
    <row r="41" ht="35.649999999999999" customHeight="1">
      <c r="A41" s="151"/>
      <c r="B41" s="151" t="s">
        <v>135</v>
      </c>
      <c r="C41" s="151" t="s">
        <v>136</v>
      </c>
      <c r="D41" s="151" t="s">
        <v>137</v>
      </c>
      <c r="E41" s="495" t="s">
        <v>437</v>
      </c>
      <c r="F41" s="495" t="s">
        <v>438</v>
      </c>
      <c r="G41" s="495" t="s">
        <v>439</v>
      </c>
      <c r="H41" s="495" t="s">
        <v>440</v>
      </c>
      <c r="I41" s="495" t="s">
        <v>441</v>
      </c>
      <c r="J41" s="495" t="s">
        <v>442</v>
      </c>
      <c r="K41" s="495" t="s">
        <v>443</v>
      </c>
      <c r="L41" s="495" t="s">
        <v>418</v>
      </c>
      <c r="Q41" s="553"/>
      <c r="R41" s="553"/>
      <c r="S41" s="498"/>
      <c r="T41" s="362"/>
      <c r="U41" s="573"/>
      <c r="V41" s="162"/>
      <c r="W41" s="574"/>
      <c r="X41" s="246" t="s">
        <v>444</v>
      </c>
      <c r="Y41" s="246" t="s">
        <v>445</v>
      </c>
      <c r="Z41" s="246" t="s">
        <v>446</v>
      </c>
      <c r="AA41" s="429" t="s">
        <v>447</v>
      </c>
      <c r="AB41" s="431"/>
      <c r="AC41" s="575"/>
      <c r="AD41" s="162"/>
      <c r="AE41" s="574"/>
      <c r="AF41" s="246" t="s">
        <v>444</v>
      </c>
      <c r="AG41" s="246" t="s">
        <v>445</v>
      </c>
      <c r="AH41" s="246" t="s">
        <v>446</v>
      </c>
      <c r="AI41" s="429" t="s">
        <v>447</v>
      </c>
      <c r="AJ41" s="431"/>
      <c r="AK41" s="575"/>
      <c r="AL41" s="576"/>
      <c r="AM41" s="157"/>
      <c r="AS41" s="50">
        <v>34</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4" customHeight="1">
      <c r="A43" s="493" t="s">
        <v>155</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3"/>
        <v xml:space="preserve">Наименование тарифа</v>
      </c>
      <c r="AQ43" s="129"/>
      <c r="AR43" s="129"/>
      <c r="AS43" s="50">
        <v>23</v>
      </c>
    </row>
    <row r="44" ht="24" customHeight="1">
      <c r="A44" s="493" t="s">
        <v>155</v>
      </c>
      <c r="B44" s="493" t="s">
        <v>156</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399</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400</v>
      </c>
      <c r="AO44" s="129"/>
      <c r="AP44" s="129" t="str">
        <f t="shared" si="3"/>
        <v xml:space="preserve">Территория действия тарифа</v>
      </c>
      <c r="AQ44" s="129"/>
      <c r="AR44" s="129"/>
      <c r="AS44" s="50">
        <v>23</v>
      </c>
    </row>
    <row r="45" ht="24" customHeight="1">
      <c r="A45" s="493" t="s">
        <v>155</v>
      </c>
      <c r="B45" s="493" t="s">
        <v>156</v>
      </c>
      <c r="C45" s="493" t="s">
        <v>157</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401</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402</v>
      </c>
      <c r="AO45" s="129"/>
      <c r="AP45" s="129" t="str">
        <f t="shared" si="3"/>
        <v xml:space="preserve">Наименование системы теплоснабжения</v>
      </c>
      <c r="AQ45" s="129"/>
      <c r="AR45" s="129"/>
      <c r="AS45" s="50">
        <v>23</v>
      </c>
    </row>
    <row r="46" ht="24" customHeight="1">
      <c r="A46" s="493" t="s">
        <v>155</v>
      </c>
      <c r="B46" s="493" t="s">
        <v>156</v>
      </c>
      <c r="C46" s="493" t="s">
        <v>157</v>
      </c>
      <c r="D46" s="493" t="s">
        <v>158</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403</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404</v>
      </c>
      <c r="AO46" s="129"/>
      <c r="AP46" s="129" t="str">
        <f t="shared" si="3"/>
        <v xml:space="preserve">Источник тепловой энергии</v>
      </c>
      <c r="AQ46" s="129"/>
      <c r="AR46" s="129"/>
      <c r="AS46" s="50">
        <v>23</v>
      </c>
    </row>
    <row r="47" ht="49.5" customHeight="1">
      <c r="A47" s="493" t="s">
        <v>155</v>
      </c>
      <c r="B47" s="493" t="s">
        <v>156</v>
      </c>
      <c r="C47" s="493" t="s">
        <v>157</v>
      </c>
      <c r="D47" s="493" t="s">
        <v>158</v>
      </c>
      <c r="E47" s="505"/>
      <c r="F47" s="505"/>
      <c r="G47" s="505"/>
      <c r="H47" s="505"/>
      <c r="I47" s="512" t="str">
        <f>S46&amp;".1"</f>
        <v>....1</v>
      </c>
      <c r="J47" s="493"/>
      <c r="K47" s="493"/>
      <c r="L47" s="495" t="s">
        <v>405</v>
      </c>
      <c r="P47" s="132">
        <v>1</v>
      </c>
      <c r="Q47" s="132"/>
      <c r="R47" s="513"/>
      <c r="S47" s="498" t="str">
        <f>$I47</f>
        <v>....1</v>
      </c>
      <c r="T47" s="514" t="s">
        <v>406</v>
      </c>
      <c r="U47" s="500"/>
      <c r="V47" s="445"/>
      <c r="W47" s="515"/>
      <c r="X47" s="515"/>
      <c r="Y47" s="515"/>
      <c r="Z47" s="515"/>
      <c r="AA47" s="515"/>
      <c r="AB47" s="515"/>
      <c r="AC47" s="516"/>
      <c r="AD47" s="445"/>
      <c r="AE47" s="515"/>
      <c r="AF47" s="515"/>
      <c r="AG47" s="515"/>
      <c r="AH47" s="515"/>
      <c r="AI47" s="515"/>
      <c r="AJ47" s="515"/>
      <c r="AK47" s="515"/>
      <c r="AL47" s="516"/>
      <c r="AM47" s="504" t="s">
        <v>407</v>
      </c>
      <c r="AO47" s="129"/>
      <c r="AP47" s="129" t="str">
        <f t="shared" si="3"/>
        <v xml:space="preserve">Схема подключения теплопотребляющей установки к коллектору источника тепловой энергии</v>
      </c>
      <c r="AQ47" s="129"/>
      <c r="AR47" s="129"/>
      <c r="AS47" s="50">
        <v>47</v>
      </c>
    </row>
    <row r="48" ht="24" customHeight="1">
      <c r="A48" s="493" t="s">
        <v>155</v>
      </c>
      <c r="B48" s="493" t="s">
        <v>156</v>
      </c>
      <c r="C48" s="493" t="s">
        <v>157</v>
      </c>
      <c r="D48" s="493" t="s">
        <v>158</v>
      </c>
      <c r="E48" s="505"/>
      <c r="F48" s="505"/>
      <c r="G48" s="505"/>
      <c r="H48" s="505"/>
      <c r="I48" s="517"/>
      <c r="J48" s="512" t="str">
        <f>I47&amp;".1"</f>
        <v>....1.1</v>
      </c>
      <c r="K48" s="493"/>
      <c r="L48" s="495" t="s">
        <v>408</v>
      </c>
      <c r="P48" s="132"/>
      <c r="Q48" s="132">
        <v>1</v>
      </c>
      <c r="R48" s="518"/>
      <c r="S48" s="498" t="str">
        <f>$J48</f>
        <v>....1.1</v>
      </c>
      <c r="T48" s="519" t="s">
        <v>409</v>
      </c>
      <c r="U48" s="500"/>
      <c r="V48" s="445"/>
      <c r="W48" s="515"/>
      <c r="X48" s="515"/>
      <c r="Y48" s="515"/>
      <c r="Z48" s="515"/>
      <c r="AA48" s="515"/>
      <c r="AB48" s="515"/>
      <c r="AC48" s="516"/>
      <c r="AD48" s="445"/>
      <c r="AE48" s="515"/>
      <c r="AF48" s="515"/>
      <c r="AG48" s="515"/>
      <c r="AH48" s="515"/>
      <c r="AI48" s="515"/>
      <c r="AJ48" s="515"/>
      <c r="AK48" s="515"/>
      <c r="AL48" s="516"/>
      <c r="AM48" s="504" t="s">
        <v>410</v>
      </c>
      <c r="AO48" s="129"/>
      <c r="AP48" s="129" t="str">
        <f t="shared" si="3"/>
        <v xml:space="preserve">Группа потребителей</v>
      </c>
      <c r="AQ48" s="129"/>
      <c r="AR48" s="129"/>
      <c r="AS48" s="50">
        <v>23</v>
      </c>
    </row>
    <row r="49" ht="24" customHeight="1">
      <c r="A49" s="493" t="s">
        <v>155</v>
      </c>
      <c r="B49" s="493" t="s">
        <v>156</v>
      </c>
      <c r="C49" s="493" t="s">
        <v>157</v>
      </c>
      <c r="D49" s="493" t="s">
        <v>158</v>
      </c>
      <c r="E49" s="505"/>
      <c r="F49" s="505"/>
      <c r="G49" s="505"/>
      <c r="H49" s="505"/>
      <c r="I49" s="517"/>
      <c r="J49" s="517"/>
      <c r="K49" s="512" t="str">
        <f>J48&amp;".1"</f>
        <v>....1.1.1</v>
      </c>
      <c r="L49" s="495" t="s">
        <v>411</v>
      </c>
      <c r="P49" s="132"/>
      <c r="Q49" s="132"/>
      <c r="R49" s="518">
        <v>1</v>
      </c>
      <c r="S49" s="498" t="str">
        <f>$K49</f>
        <v>....1.1.1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412</v>
      </c>
      <c r="AN49" s="57" t="e">
        <f>STRCHECKDATE(V50:AL50)</f>
        <v>#NAME?</v>
      </c>
      <c r="AO49" s="129"/>
      <c r="AP49" s="129" t="str">
        <f t="shared" si="3"/>
        <v/>
      </c>
      <c r="AQ49" s="129"/>
      <c r="AR49" s="129"/>
      <c r="AS49" s="50">
        <v>23</v>
      </c>
    </row>
    <row r="50" ht="1.05" customHeight="1">
      <c r="A50" s="493" t="s">
        <v>155</v>
      </c>
      <c r="B50" s="493" t="s">
        <v>156</v>
      </c>
      <c r="C50" s="493" t="s">
        <v>157</v>
      </c>
      <c r="D50" s="493" t="s">
        <v>158</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3"/>
        <v/>
      </c>
      <c r="AQ50" s="129"/>
      <c r="AR50" s="129"/>
      <c r="AS50" s="50">
        <v>1</v>
      </c>
    </row>
    <row r="51" ht="11.5" customHeight="1">
      <c r="A51" s="493" t="s">
        <v>155</v>
      </c>
      <c r="B51" s="493" t="s">
        <v>156</v>
      </c>
      <c r="C51" s="493" t="s">
        <v>157</v>
      </c>
      <c r="D51" s="493" t="s">
        <v>158</v>
      </c>
      <c r="E51" s="505"/>
      <c r="F51" s="505"/>
      <c r="G51" s="505"/>
      <c r="H51" s="505"/>
      <c r="I51" s="517"/>
      <c r="J51" s="512"/>
      <c r="K51" s="493"/>
      <c r="L51" s="495"/>
      <c r="P51" s="132"/>
      <c r="Q51" s="132"/>
      <c r="R51" s="513"/>
      <c r="S51" s="529"/>
      <c r="T51" s="530" t="s">
        <v>413</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3"/>
        <v xml:space="preserve">Добавить вид теплоносителя (параметры теплоносителя)</v>
      </c>
      <c r="AQ51" s="129"/>
      <c r="AR51" s="129"/>
      <c r="AS51" s="50">
        <v>11</v>
      </c>
    </row>
    <row r="52" ht="11.5" customHeight="1">
      <c r="A52" s="493" t="s">
        <v>155</v>
      </c>
      <c r="B52" s="493" t="s">
        <v>156</v>
      </c>
      <c r="C52" s="493" t="s">
        <v>157</v>
      </c>
      <c r="D52" s="493" t="s">
        <v>158</v>
      </c>
      <c r="E52" s="505"/>
      <c r="F52" s="505"/>
      <c r="G52" s="505"/>
      <c r="H52" s="505"/>
      <c r="I52" s="512"/>
      <c r="J52" s="493"/>
      <c r="K52" s="493"/>
      <c r="L52" s="495"/>
      <c r="P52" s="132"/>
      <c r="Q52" s="132"/>
      <c r="R52" s="513"/>
      <c r="S52" s="529"/>
      <c r="T52" s="533" t="s">
        <v>414</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3"/>
        <v xml:space="preserve">Добавить группу потребителей</v>
      </c>
      <c r="AQ52" s="129"/>
      <c r="AR52" s="129"/>
      <c r="AS52" s="50">
        <v>11</v>
      </c>
    </row>
    <row r="53" ht="14.65" customHeight="1">
      <c r="A53" s="493" t="s">
        <v>155</v>
      </c>
      <c r="B53" s="493" t="s">
        <v>156</v>
      </c>
      <c r="C53" s="493" t="s">
        <v>157</v>
      </c>
      <c r="D53" s="493" t="s">
        <v>158</v>
      </c>
      <c r="E53" s="505"/>
      <c r="F53" s="505"/>
      <c r="G53" s="505"/>
      <c r="H53" s="494"/>
      <c r="I53" s="493"/>
      <c r="J53" s="493"/>
      <c r="K53" s="493"/>
      <c r="L53" s="495"/>
      <c r="M53" s="496"/>
      <c r="N53" s="496"/>
      <c r="O53" s="53"/>
      <c r="P53" s="143"/>
      <c r="Q53" s="536"/>
      <c r="R53" s="497"/>
      <c r="S53" s="529"/>
      <c r="T53" s="537" t="s">
        <v>415</v>
      </c>
      <c r="U53" s="214"/>
      <c r="V53" s="214"/>
      <c r="W53" s="214"/>
      <c r="X53" s="214"/>
      <c r="Y53" s="214"/>
      <c r="Z53" s="214"/>
      <c r="AA53" s="214"/>
      <c r="AB53" s="214"/>
      <c r="AC53" s="534"/>
      <c r="AD53" s="214"/>
      <c r="AE53" s="214"/>
      <c r="AF53" s="214"/>
      <c r="AG53" s="214"/>
      <c r="AH53" s="214"/>
      <c r="AI53" s="214"/>
      <c r="AJ53" s="214"/>
      <c r="AK53" s="534"/>
      <c r="AL53" s="214"/>
      <c r="AM53" s="535"/>
      <c r="AO53" s="129"/>
      <c r="AP53" s="129" t="str">
        <f t="shared" si="3"/>
        <v xml:space="preserve">Добавить схему подключения</v>
      </c>
      <c r="AQ53" s="129"/>
      <c r="AR53" s="129"/>
      <c r="AS53" s="50">
        <v>14</v>
      </c>
    </row>
    <row r="54" s="57" customFormat="1" ht="1.05" customHeight="1">
      <c r="A54" s="133" t="s">
        <v>155</v>
      </c>
      <c r="B54" s="133" t="s">
        <v>156</v>
      </c>
      <c r="C54" s="133" t="s">
        <v>157</v>
      </c>
      <c r="D54" s="133"/>
      <c r="E54" s="505"/>
      <c r="F54" s="505"/>
      <c r="G54" s="494"/>
      <c r="H54" s="133"/>
      <c r="I54" s="133"/>
      <c r="J54" s="133"/>
      <c r="K54" s="133"/>
      <c r="L54" s="212"/>
      <c r="M54" s="478"/>
      <c r="N54" s="478"/>
      <c r="P54" s="167"/>
      <c r="Q54" s="538"/>
      <c r="R54" s="167"/>
      <c r="S54" s="543"/>
      <c r="T54" s="546" t="s">
        <v>416</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3"/>
        <v xml:space="preserve">Добавить источник для дифференциации</v>
      </c>
      <c r="AQ54" s="129"/>
      <c r="AR54" s="129"/>
      <c r="AS54" s="57">
        <v>1</v>
      </c>
    </row>
    <row r="55" s="57" customFormat="1" ht="1.05" customHeight="1">
      <c r="A55" s="133" t="s">
        <v>155</v>
      </c>
      <c r="B55" s="133" t="s">
        <v>156</v>
      </c>
      <c r="C55" s="133"/>
      <c r="D55" s="133"/>
      <c r="E55" s="505"/>
      <c r="F55" s="494"/>
      <c r="G55" s="133"/>
      <c r="H55" s="133"/>
      <c r="I55" s="133"/>
      <c r="J55" s="133"/>
      <c r="K55" s="133"/>
      <c r="L55" s="212"/>
      <c r="M55" s="542"/>
      <c r="N55" s="542"/>
      <c r="P55" s="167"/>
      <c r="Q55" s="538"/>
      <c r="R55" s="167"/>
      <c r="S55" s="543"/>
      <c r="T55" s="546" t="s">
        <v>238</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3"/>
        <v xml:space="preserve">Добавить централизованную систему для дифференциации</v>
      </c>
      <c r="AQ55" s="129"/>
      <c r="AR55" s="129"/>
      <c r="AS55" s="57">
        <v>1</v>
      </c>
    </row>
    <row r="56" s="57" customFormat="1" ht="1.05" customHeight="1">
      <c r="A56" s="133" t="s">
        <v>155</v>
      </c>
      <c r="B56" s="133"/>
      <c r="C56" s="133"/>
      <c r="D56" s="133"/>
      <c r="E56" s="494"/>
      <c r="F56" s="133"/>
      <c r="G56" s="133"/>
      <c r="H56" s="133"/>
      <c r="I56" s="133"/>
      <c r="J56" s="133"/>
      <c r="K56" s="133"/>
      <c r="L56" s="212"/>
      <c r="M56" s="542"/>
      <c r="N56" s="542"/>
      <c r="O56" s="57"/>
      <c r="P56" s="167"/>
      <c r="Q56" s="538"/>
      <c r="R56" s="167"/>
      <c r="S56" s="543"/>
      <c r="T56" s="546" t="s">
        <v>239</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42"/>
      <c r="N57" s="542"/>
      <c r="P57" s="167"/>
      <c r="Q57" s="538"/>
      <c r="R57" s="167"/>
      <c r="S57" s="543"/>
      <c r="T57" s="546" t="s">
        <v>240</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27</v>
      </c>
    </row>
    <row r="60" ht="67.200000000000003" customHeight="1">
      <c r="O60" s="53"/>
      <c r="P60" s="60"/>
      <c r="T60" s="588"/>
      <c r="U60" s="588"/>
      <c r="V60" s="588"/>
      <c r="W60" s="588"/>
      <c r="X60" s="588"/>
      <c r="Y60" s="588"/>
      <c r="Z60" s="588"/>
      <c r="AA60" s="588"/>
      <c r="AB60" s="588"/>
      <c r="AC60" s="588"/>
      <c r="AD60" s="588"/>
      <c r="AE60" s="588"/>
      <c r="AF60" s="588"/>
      <c r="AG60" s="588"/>
      <c r="AH60" s="588"/>
      <c r="AI60" s="588"/>
      <c r="AJ60" s="588"/>
      <c r="AK60" s="588"/>
      <c r="AL60" s="588"/>
      <c r="AM60" s="588"/>
      <c r="AS60" s="50">
        <v>64</v>
      </c>
    </row>
    <row r="61" ht="14.65" customHeight="1">
      <c r="O61" s="53"/>
      <c r="AS61" s="50">
        <v>14</v>
      </c>
    </row>
    <row r="62" ht="18.75" customHeight="1">
      <c r="O62" s="53"/>
      <c r="P62" s="60"/>
      <c r="S62" s="490"/>
      <c r="T62" s="588"/>
      <c r="U62" s="588"/>
      <c r="V62" s="588"/>
      <c r="W62" s="588"/>
      <c r="X62" s="588"/>
      <c r="Y62" s="588"/>
      <c r="Z62" s="588"/>
      <c r="AA62" s="588"/>
      <c r="AB62" s="588"/>
      <c r="AC62" s="588"/>
      <c r="AD62" s="588"/>
      <c r="AE62" s="588"/>
      <c r="AF62" s="588"/>
      <c r="AG62" s="588"/>
      <c r="AH62" s="588"/>
      <c r="AI62" s="588"/>
      <c r="AJ62" s="588"/>
      <c r="AK62" s="588"/>
      <c r="AL62" s="588"/>
      <c r="AM62" s="588"/>
      <c r="AS62" s="50">
        <v>18</v>
      </c>
    </row>
    <row r="63" ht="18.75" customHeight="1">
      <c r="O63" s="53"/>
      <c r="P63" s="60"/>
      <c r="T63" s="588"/>
      <c r="U63" s="588"/>
      <c r="V63" s="588"/>
      <c r="W63" s="588"/>
      <c r="X63" s="588"/>
      <c r="Y63" s="588"/>
      <c r="Z63" s="588"/>
      <c r="AA63" s="588"/>
      <c r="AB63" s="588"/>
      <c r="AC63" s="588"/>
      <c r="AD63" s="588"/>
      <c r="AE63" s="588"/>
      <c r="AF63" s="588"/>
      <c r="AG63" s="588"/>
      <c r="AH63" s="588"/>
      <c r="AI63" s="588"/>
      <c r="AJ63" s="588"/>
      <c r="AK63" s="588"/>
      <c r="AL63" s="588"/>
      <c r="AM63" s="588"/>
      <c r="AS63" s="50">
        <v>18</v>
      </c>
    </row>
    <row r="64" ht="29.25" customHeight="1">
      <c r="O64" s="53"/>
      <c r="P64" s="60"/>
      <c r="S64" s="490"/>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2">
        <v>3</v>
      </c>
      <c r="R65" s="492">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B0096-0072-4653-9165-00E90040005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2F003E-00D5-41D4-A1CF-00F6004700F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B0065-0031-426F-B6E0-007100110007}"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40053-00A8-43D7-8513-002200F700E4}"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398</v>
      </c>
      <c r="AO2" s="129"/>
      <c r="AP2" s="129" t="str">
        <f t="shared" ref="AP2:AP9" si="4">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400</v>
      </c>
      <c r="AO3" s="129"/>
      <c r="AP3" s="129" t="str">
        <f t="shared" si="4"/>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401</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402</v>
      </c>
      <c r="AO4" s="129"/>
      <c r="AP4" s="129" t="str">
        <f t="shared" si="4"/>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7"/>
      <c r="S5" s="498" t="e">
        <f>INDEX(PT_DIFFERENTIATION_NUM_IST_TE,MATCH(D5,PT_DIFFERENTIATION_IST_TE_ID,0))</f>
        <v>#VALUE!</v>
      </c>
      <c r="T5" s="511" t="s">
        <v>403</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404</v>
      </c>
      <c r="AO5" s="129"/>
      <c r="AP5" s="129" t="str">
        <f t="shared" si="4"/>
        <v xml:space="preserve">Источник тепловой энергии</v>
      </c>
      <c r="AQ5" s="129"/>
      <c r="AR5" s="129"/>
      <c r="AS5" s="50">
        <v>0</v>
      </c>
    </row>
    <row r="6" ht="47.25" hidden="1" customHeight="1">
      <c r="A6" s="493"/>
      <c r="B6" s="493"/>
      <c r="C6" s="493"/>
      <c r="D6" s="493"/>
      <c r="E6" s="505"/>
      <c r="F6" s="505"/>
      <c r="G6" s="505"/>
      <c r="H6" s="505"/>
      <c r="I6" s="512" t="e">
        <f>S5&amp;".1"</f>
        <v>#VALUE!</v>
      </c>
      <c r="J6" s="493"/>
      <c r="K6" s="493"/>
      <c r="L6" s="495" t="s">
        <v>405</v>
      </c>
      <c r="M6" s="53"/>
      <c r="P6" s="132">
        <v>1</v>
      </c>
      <c r="Q6" s="132"/>
      <c r="R6" s="513"/>
      <c r="S6" s="498" t="e">
        <f>$I6</f>
        <v>#VALUE!</v>
      </c>
      <c r="T6" s="514" t="s">
        <v>406</v>
      </c>
      <c r="U6" s="500"/>
      <c r="V6" s="445"/>
      <c r="W6" s="515"/>
      <c r="X6" s="515"/>
      <c r="Y6" s="515"/>
      <c r="Z6" s="515"/>
      <c r="AA6" s="515"/>
      <c r="AB6" s="515"/>
      <c r="AC6" s="516"/>
      <c r="AD6" s="445"/>
      <c r="AE6" s="515"/>
      <c r="AF6" s="515"/>
      <c r="AG6" s="515"/>
      <c r="AH6" s="515"/>
      <c r="AI6" s="515"/>
      <c r="AJ6" s="515"/>
      <c r="AK6" s="515"/>
      <c r="AL6" s="516"/>
      <c r="AM6" s="504" t="s">
        <v>407</v>
      </c>
      <c r="AO6" s="129"/>
      <c r="AP6" s="129" t="str">
        <f t="shared" si="4"/>
        <v xml:space="preserve">Схема подключения теплопотребляющей установки к коллектору источника тепловой энергии</v>
      </c>
      <c r="AQ6" s="129"/>
      <c r="AR6" s="129"/>
      <c r="AS6" s="50">
        <v>0</v>
      </c>
    </row>
    <row r="7" ht="21" hidden="1" customHeight="1">
      <c r="A7" s="493"/>
      <c r="B7" s="493"/>
      <c r="C7" s="493"/>
      <c r="D7" s="493"/>
      <c r="E7" s="505"/>
      <c r="F7" s="505"/>
      <c r="G7" s="505"/>
      <c r="H7" s="505"/>
      <c r="I7" s="517"/>
      <c r="J7" s="512" t="e">
        <f>I6&amp;".1"</f>
        <v>#VALUE!</v>
      </c>
      <c r="K7" s="493"/>
      <c r="L7" s="495" t="s">
        <v>408</v>
      </c>
      <c r="M7" s="53"/>
      <c r="N7" s="53"/>
      <c r="P7" s="132"/>
      <c r="Q7" s="132">
        <v>1</v>
      </c>
      <c r="R7" s="518"/>
      <c r="S7" s="498" t="e">
        <f>$J7</f>
        <v>#VALUE!</v>
      </c>
      <c r="T7" s="519" t="s">
        <v>409</v>
      </c>
      <c r="U7" s="500"/>
      <c r="V7" s="445"/>
      <c r="W7" s="515"/>
      <c r="X7" s="515"/>
      <c r="Y7" s="515"/>
      <c r="Z7" s="515"/>
      <c r="AA7" s="515"/>
      <c r="AB7" s="515"/>
      <c r="AC7" s="516"/>
      <c r="AD7" s="445"/>
      <c r="AE7" s="515"/>
      <c r="AF7" s="515"/>
      <c r="AG7" s="515"/>
      <c r="AH7" s="515"/>
      <c r="AI7" s="515"/>
      <c r="AJ7" s="515"/>
      <c r="AK7" s="515"/>
      <c r="AL7" s="516"/>
      <c r="AM7" s="504" t="s">
        <v>410</v>
      </c>
      <c r="AO7" s="129"/>
      <c r="AP7" s="129" t="str">
        <f t="shared" si="4"/>
        <v xml:space="preserve">Группа потребителей</v>
      </c>
      <c r="AQ7" s="129"/>
      <c r="AR7" s="129"/>
      <c r="AS7" s="50">
        <v>0</v>
      </c>
    </row>
    <row r="8" ht="21" hidden="1" customHeight="1">
      <c r="A8" s="493"/>
      <c r="B8" s="493"/>
      <c r="C8" s="493"/>
      <c r="D8" s="493"/>
      <c r="E8" s="505"/>
      <c r="F8" s="505"/>
      <c r="G8" s="505"/>
      <c r="H8" s="505"/>
      <c r="I8" s="517"/>
      <c r="J8" s="517"/>
      <c r="K8" s="512" t="e">
        <f>J7&amp;".1"</f>
        <v>#VALUE!</v>
      </c>
      <c r="L8" s="495" t="s">
        <v>411</v>
      </c>
      <c r="M8" s="53"/>
      <c r="N8" s="53"/>
      <c r="O8" s="53"/>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412</v>
      </c>
      <c r="AN8" s="57" t="e">
        <f>STRCHECKDATE(V9:AL9)</f>
        <v>#NAME?</v>
      </c>
      <c r="AO8" s="129"/>
      <c r="AP8" s="129" t="str">
        <f t="shared" si="4"/>
        <v/>
      </c>
      <c r="AQ8" s="129"/>
      <c r="AR8" s="129"/>
      <c r="AS8" s="50">
        <v>0</v>
      </c>
    </row>
    <row r="9" ht="0.7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4"/>
        <v/>
      </c>
      <c r="AQ9" s="129"/>
      <c r="AR9" s="129"/>
      <c r="AS9" s="50">
        <v>0</v>
      </c>
    </row>
    <row r="10" ht="15" hidden="1" customHeight="1">
      <c r="A10" s="493"/>
      <c r="B10" s="493"/>
      <c r="C10" s="493"/>
      <c r="D10" s="493"/>
      <c r="E10" s="505"/>
      <c r="F10" s="505"/>
      <c r="G10" s="505"/>
      <c r="H10" s="505"/>
      <c r="I10" s="517"/>
      <c r="J10" s="512"/>
      <c r="K10" s="493"/>
      <c r="L10" s="495"/>
      <c r="M10" s="53"/>
      <c r="N10" s="53"/>
      <c r="P10" s="132"/>
      <c r="Q10" s="132"/>
      <c r="R10" s="513"/>
      <c r="S10" s="529"/>
      <c r="T10" s="530" t="s">
        <v>413</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5">IF(T10="","",T10)</f>
        <v xml:space="preserve">Добавить вид теплоносителя (параметры теплоносителя)</v>
      </c>
      <c r="AQ10" s="129"/>
      <c r="AR10" s="129"/>
      <c r="AS10" s="50">
        <v>0</v>
      </c>
    </row>
    <row r="11" ht="15" hidden="1" customHeight="1">
      <c r="A11" s="493"/>
      <c r="B11" s="493"/>
      <c r="C11" s="493"/>
      <c r="D11" s="493"/>
      <c r="E11" s="505"/>
      <c r="F11" s="505"/>
      <c r="G11" s="505"/>
      <c r="H11" s="505"/>
      <c r="I11" s="512"/>
      <c r="J11" s="493"/>
      <c r="K11" s="493"/>
      <c r="L11" s="495"/>
      <c r="M11" s="53"/>
      <c r="P11" s="132"/>
      <c r="Q11" s="132"/>
      <c r="R11" s="513"/>
      <c r="S11" s="529"/>
      <c r="T11" s="533" t="s">
        <v>414</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5"/>
        <v xml:space="preserve">Добавить группу потребителей</v>
      </c>
      <c r="AQ11" s="129"/>
      <c r="AR11" s="129"/>
      <c r="AS11" s="50">
        <v>0</v>
      </c>
    </row>
    <row r="12" ht="14.25" hidden="1" customHeight="1">
      <c r="A12" s="493"/>
      <c r="B12" s="493"/>
      <c r="C12" s="493"/>
      <c r="D12" s="493"/>
      <c r="E12" s="505"/>
      <c r="F12" s="505"/>
      <c r="G12" s="505"/>
      <c r="H12" s="494"/>
      <c r="I12" s="493"/>
      <c r="J12" s="493"/>
      <c r="K12" s="493"/>
      <c r="L12" s="495"/>
      <c r="M12" s="496"/>
      <c r="N12" s="496"/>
      <c r="O12" s="53"/>
      <c r="P12" s="143"/>
      <c r="Q12" s="536"/>
      <c r="R12" s="497"/>
      <c r="S12" s="529"/>
      <c r="T12" s="537" t="s">
        <v>415</v>
      </c>
      <c r="U12" s="214"/>
      <c r="V12" s="214"/>
      <c r="W12" s="214"/>
      <c r="X12" s="214"/>
      <c r="Y12" s="214"/>
      <c r="Z12" s="214"/>
      <c r="AA12" s="214"/>
      <c r="AB12" s="214"/>
      <c r="AC12" s="534"/>
      <c r="AD12" s="214"/>
      <c r="AE12" s="214"/>
      <c r="AF12" s="214"/>
      <c r="AG12" s="214"/>
      <c r="AH12" s="214"/>
      <c r="AI12" s="214"/>
      <c r="AJ12" s="214"/>
      <c r="AK12" s="534"/>
      <c r="AL12" s="214"/>
      <c r="AM12" s="535"/>
      <c r="AO12" s="129"/>
      <c r="AP12" s="129" t="str">
        <f t="shared" si="5"/>
        <v xml:space="preserve">Добавить схему подключения</v>
      </c>
      <c r="AQ12" s="129"/>
      <c r="AR12" s="129"/>
      <c r="AS12" s="50">
        <v>0</v>
      </c>
    </row>
    <row r="13" s="57" customFormat="1" ht="0.75" hidden="1" customHeight="1">
      <c r="A13" s="133"/>
      <c r="B13" s="133"/>
      <c r="C13" s="133"/>
      <c r="D13" s="133"/>
      <c r="E13" s="505"/>
      <c r="F13" s="505"/>
      <c r="G13" s="494"/>
      <c r="H13" s="133"/>
      <c r="I13" s="133"/>
      <c r="J13" s="133"/>
      <c r="K13" s="133"/>
      <c r="L13" s="212"/>
      <c r="M13" s="478"/>
      <c r="N13" s="478"/>
      <c r="P13" s="167"/>
      <c r="Q13" s="538"/>
      <c r="R13" s="167"/>
      <c r="S13" s="539"/>
      <c r="T13" s="540" t="s">
        <v>416</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5"/>
        <v xml:space="preserve">Добавить источник для дифференциации</v>
      </c>
      <c r="AQ13" s="129"/>
      <c r="AR13" s="129"/>
      <c r="AS13" s="57">
        <v>0</v>
      </c>
    </row>
    <row r="14" s="57" customFormat="1" ht="0.75" hidden="1" customHeight="1">
      <c r="A14" s="133"/>
      <c r="B14" s="133"/>
      <c r="C14" s="133"/>
      <c r="D14" s="133"/>
      <c r="E14" s="505"/>
      <c r="F14" s="494"/>
      <c r="G14" s="133"/>
      <c r="H14" s="133"/>
      <c r="I14" s="133"/>
      <c r="J14" s="133"/>
      <c r="K14" s="133"/>
      <c r="L14" s="212"/>
      <c r="M14" s="542"/>
      <c r="N14" s="542"/>
      <c r="P14" s="167"/>
      <c r="Q14" s="538"/>
      <c r="R14" s="167"/>
      <c r="S14" s="543"/>
      <c r="T14" s="544" t="s">
        <v>238</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94"/>
      <c r="F15" s="133"/>
      <c r="G15" s="133"/>
      <c r="H15" s="133"/>
      <c r="I15" s="133"/>
      <c r="J15" s="133"/>
      <c r="K15" s="133"/>
      <c r="L15" s="212"/>
      <c r="M15" s="542"/>
      <c r="N15" s="542"/>
      <c r="P15" s="167"/>
      <c r="Q15" s="538"/>
      <c r="R15" s="167"/>
      <c r="S15" s="543"/>
      <c r="T15" s="546" t="s">
        <v>239</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5"/>
        <v xml:space="preserve">Добавить территорию для дифференциации</v>
      </c>
      <c r="AQ15" s="129"/>
      <c r="AR15" s="129"/>
      <c r="AS15" s="57">
        <v>0</v>
      </c>
    </row>
    <row r="16" ht="14.25" hidden="1" customHeight="1">
      <c r="AC16" s="50"/>
      <c r="AK16" s="50"/>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K19" s="50"/>
      <c r="AS19" s="50">
        <v>0</v>
      </c>
    </row>
    <row r="20" s="53" customFormat="1" ht="22.5" hidden="1" customHeight="1">
      <c r="L20" s="113"/>
      <c r="M20" s="61"/>
      <c r="N20" s="61"/>
      <c r="O20" s="551" t="s">
        <v>417</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14.25" hidden="1" customHeight="1">
      <c r="L22" s="113"/>
      <c r="M22" s="61"/>
      <c r="N22" s="61"/>
      <c r="O22" s="495" t="s">
        <v>418</v>
      </c>
      <c r="P22" s="61"/>
      <c r="Q22" s="552"/>
      <c r="R22" s="552"/>
      <c r="S22" s="496"/>
      <c r="T22" s="53" t="s">
        <v>419</v>
      </c>
      <c r="AA22" s="151" t="s">
        <v>420</v>
      </c>
      <c r="AC22" s="151" t="s">
        <v>421</v>
      </c>
      <c r="AD22" s="53" t="s">
        <v>419</v>
      </c>
      <c r="AI22" s="151" t="s">
        <v>422</v>
      </c>
      <c r="AK22" s="151" t="s">
        <v>421</v>
      </c>
      <c r="AN22" s="57"/>
      <c r="AO22" s="57"/>
      <c r="AP22" s="57"/>
      <c r="AQ22" s="57"/>
      <c r="AR22" s="57"/>
      <c r="AS22" s="53">
        <v>0</v>
      </c>
    </row>
    <row r="23" ht="14.25" hidden="1" customHeight="1">
      <c r="O23" s="495"/>
      <c r="AS23" s="50">
        <v>0</v>
      </c>
    </row>
    <row r="24" ht="14.25" hidden="1" customHeight="1">
      <c r="O24" s="495"/>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14.65" customHeight="1">
      <c r="Q26" s="553"/>
      <c r="R26" s="553"/>
      <c r="S26" s="466"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6"/>
      <c r="U26" s="466"/>
      <c r="V26" s="466"/>
      <c r="W26" s="466"/>
      <c r="X26" s="466"/>
      <c r="Y26" s="466"/>
      <c r="Z26" s="466"/>
      <c r="AA26" s="466"/>
      <c r="AB26" s="466"/>
      <c r="AC26" s="466"/>
      <c r="AD26" s="466"/>
      <c r="AE26" s="466"/>
      <c r="AF26" s="466"/>
      <c r="AG26" s="466"/>
      <c r="AH26" s="466"/>
      <c r="AI26" s="466"/>
      <c r="AJ26" s="466"/>
      <c r="AK26" s="240"/>
      <c r="AS26" s="50">
        <v>14</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423</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424</v>
      </c>
      <c r="T31" s="556"/>
      <c r="U31" s="557"/>
      <c r="V31" s="558" t="str">
        <f>IF(TITLE_NUMBER_PR_CHANGE="",IF(TITLE_NUMBER_PR="","",TITLE_NUMBER_PR),TITLE_NUMBER_PR_CHANGE)</f>
        <v>ПГ/01/950</v>
      </c>
      <c r="W31" s="558"/>
      <c r="X31" s="558"/>
      <c r="Y31" s="558"/>
      <c r="Z31" s="558"/>
      <c r="AA31" s="558"/>
      <c r="AB31" s="558"/>
      <c r="AC31" s="50"/>
      <c r="AD31" s="558" t="str">
        <f>IF(TITLE_NUMBER_PR_CHANGE="",IF(TITLE_NUMBER_PR="","",TITLE_NUMBER_PR),TITLE_NUMBER_PR_CHANGE)</f>
        <v>ПГ/01/950</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425</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customHeight="1">
      <c r="A35" s="151"/>
      <c r="B35" s="151"/>
      <c r="C35" s="151"/>
      <c r="D35" s="151"/>
      <c r="E35" s="151"/>
      <c r="F35" s="151"/>
      <c r="G35" s="151"/>
      <c r="H35" s="151"/>
      <c r="I35" s="151"/>
      <c r="J35" s="151"/>
      <c r="K35" s="151"/>
      <c r="L35" s="495"/>
      <c r="M35" s="151"/>
      <c r="N35" s="151"/>
      <c r="O35" s="151"/>
      <c r="S35" s="556" t="s">
        <v>426</v>
      </c>
      <c r="T35" s="556"/>
      <c r="U35" s="557"/>
      <c r="V35" s="558" t="str">
        <f>IF(TITLE_NUMBER_PR_CHANGE="",IF(TITLE_NUMBER_PR="","",TITLE_NUMBER_PR),TITLE_NUMBER_PR_CHANGE)</f>
        <v>ПГ/01/950</v>
      </c>
      <c r="W35" s="558"/>
      <c r="X35" s="558"/>
      <c r="Y35" s="558"/>
      <c r="Z35" s="558"/>
      <c r="AA35" s="558"/>
      <c r="AB35" s="558"/>
      <c r="AC35" s="50"/>
      <c r="AD35" s="558" t="str">
        <f>IF(TITLE_NUMBER_PR_CHANGE="",IF(TITLE_NUMBER_PR="","",TITLE_NUMBER_PR),TITLE_NUMBER_PR_CHANGE)</f>
        <v>ПГ/01/950</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427</v>
      </c>
      <c r="AD36" s="50"/>
      <c r="AE36" s="50"/>
      <c r="AF36" s="50"/>
      <c r="AG36" s="50"/>
      <c r="AH36" s="50"/>
      <c r="AI36" s="50"/>
      <c r="AJ36" s="50"/>
      <c r="AK36" s="57" t="s">
        <v>427</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302</v>
      </c>
      <c r="T38" s="157"/>
      <c r="U38" s="157"/>
      <c r="V38" s="157"/>
      <c r="W38" s="157"/>
      <c r="X38" s="157"/>
      <c r="Y38" s="157"/>
      <c r="Z38" s="157"/>
      <c r="AA38" s="157"/>
      <c r="AB38" s="157"/>
      <c r="AC38" s="157"/>
      <c r="AD38" s="157"/>
      <c r="AE38" s="157"/>
      <c r="AF38" s="157"/>
      <c r="AG38" s="157"/>
      <c r="AH38" s="157"/>
      <c r="AI38" s="157"/>
      <c r="AJ38" s="157"/>
      <c r="AK38" s="157"/>
      <c r="AL38" s="157"/>
      <c r="AM38" s="157" t="s">
        <v>303</v>
      </c>
      <c r="AS38" s="50">
        <v>14</v>
      </c>
    </row>
    <row r="39" ht="14.65" customHeight="1">
      <c r="Q39" s="553"/>
      <c r="R39" s="553"/>
      <c r="S39" s="498" t="s">
        <v>88</v>
      </c>
      <c r="T39" s="362" t="s">
        <v>428</v>
      </c>
      <c r="U39" s="563"/>
      <c r="V39" s="564" t="s">
        <v>429</v>
      </c>
      <c r="W39" s="565"/>
      <c r="X39" s="565"/>
      <c r="Y39" s="565"/>
      <c r="Z39" s="565"/>
      <c r="AA39" s="565"/>
      <c r="AB39" s="566"/>
      <c r="AC39" s="567" t="s">
        <v>430</v>
      </c>
      <c r="AD39" s="564" t="s">
        <v>429</v>
      </c>
      <c r="AE39" s="565"/>
      <c r="AF39" s="565"/>
      <c r="AG39" s="565"/>
      <c r="AH39" s="565"/>
      <c r="AI39" s="565"/>
      <c r="AJ39" s="566"/>
      <c r="AK39" s="567" t="s">
        <v>431</v>
      </c>
      <c r="AL39" s="568" t="s">
        <v>432</v>
      </c>
      <c r="AM39" s="157"/>
      <c r="AS39" s="50">
        <v>14</v>
      </c>
    </row>
    <row r="40" ht="35.649999999999999" customHeight="1">
      <c r="Q40" s="553"/>
      <c r="R40" s="553"/>
      <c r="S40" s="498"/>
      <c r="T40" s="362"/>
      <c r="U40" s="569"/>
      <c r="V40" s="324" t="s">
        <v>433</v>
      </c>
      <c r="W40" s="570" t="s">
        <v>434</v>
      </c>
      <c r="X40" s="73" t="s">
        <v>435</v>
      </c>
      <c r="Y40" s="72"/>
      <c r="Z40" s="73" t="s">
        <v>448</v>
      </c>
      <c r="AA40" s="145"/>
      <c r="AB40" s="72"/>
      <c r="AC40" s="571"/>
      <c r="AD40" s="324" t="s">
        <v>433</v>
      </c>
      <c r="AE40" s="570" t="s">
        <v>434</v>
      </c>
      <c r="AF40" s="73" t="s">
        <v>435</v>
      </c>
      <c r="AG40" s="72"/>
      <c r="AH40" s="73" t="s">
        <v>436</v>
      </c>
      <c r="AI40" s="145"/>
      <c r="AJ40" s="72"/>
      <c r="AK40" s="571"/>
      <c r="AL40" s="572"/>
      <c r="AM40" s="157"/>
      <c r="AS40" s="50">
        <v>34</v>
      </c>
    </row>
    <row r="41" ht="35.649999999999999" customHeight="1">
      <c r="A41" s="151"/>
      <c r="B41" s="151" t="s">
        <v>135</v>
      </c>
      <c r="C41" s="151" t="s">
        <v>136</v>
      </c>
      <c r="D41" s="151" t="s">
        <v>137</v>
      </c>
      <c r="E41" s="495" t="s">
        <v>437</v>
      </c>
      <c r="F41" s="495" t="s">
        <v>438</v>
      </c>
      <c r="G41" s="495" t="s">
        <v>439</v>
      </c>
      <c r="H41" s="495" t="s">
        <v>440</v>
      </c>
      <c r="I41" s="495" t="s">
        <v>441</v>
      </c>
      <c r="J41" s="495" t="s">
        <v>442</v>
      </c>
      <c r="K41" s="495" t="s">
        <v>443</v>
      </c>
      <c r="L41" s="495" t="s">
        <v>418</v>
      </c>
      <c r="Q41" s="553"/>
      <c r="R41" s="553"/>
      <c r="S41" s="498"/>
      <c r="T41" s="362"/>
      <c r="U41" s="573"/>
      <c r="V41" s="162"/>
      <c r="W41" s="574"/>
      <c r="X41" s="246" t="s">
        <v>444</v>
      </c>
      <c r="Y41" s="246" t="s">
        <v>445</v>
      </c>
      <c r="Z41" s="246" t="s">
        <v>446</v>
      </c>
      <c r="AA41" s="429" t="s">
        <v>447</v>
      </c>
      <c r="AB41" s="431"/>
      <c r="AC41" s="575"/>
      <c r="AD41" s="162"/>
      <c r="AE41" s="574"/>
      <c r="AF41" s="246" t="s">
        <v>444</v>
      </c>
      <c r="AG41" s="246" t="s">
        <v>445</v>
      </c>
      <c r="AH41" s="246" t="s">
        <v>446</v>
      </c>
      <c r="AI41" s="429" t="s">
        <v>447</v>
      </c>
      <c r="AJ41" s="431"/>
      <c r="AK41" s="575"/>
      <c r="AL41" s="576"/>
      <c r="AM41" s="157"/>
      <c r="AS41" s="50">
        <v>34</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493" t="s">
        <v>160</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5"/>
        <v xml:space="preserve">Наименование тарифа</v>
      </c>
      <c r="AQ43" s="129"/>
      <c r="AR43" s="129"/>
      <c r="AS43" s="50">
        <v>21</v>
      </c>
    </row>
    <row r="44" ht="22" customHeight="1">
      <c r="A44" s="493" t="s">
        <v>160</v>
      </c>
      <c r="B44" s="493" t="s">
        <v>161</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399</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400</v>
      </c>
      <c r="AO44" s="129"/>
      <c r="AP44" s="129" t="str">
        <f t="shared" si="5"/>
        <v xml:space="preserve">Территория действия тарифа</v>
      </c>
      <c r="AQ44" s="129"/>
      <c r="AR44" s="129"/>
      <c r="AS44" s="50">
        <v>21</v>
      </c>
    </row>
    <row r="45" ht="24" customHeight="1">
      <c r="A45" s="493" t="s">
        <v>160</v>
      </c>
      <c r="B45" s="493" t="s">
        <v>161</v>
      </c>
      <c r="C45" s="493" t="s">
        <v>162</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401</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402</v>
      </c>
      <c r="AO45" s="129"/>
      <c r="AP45" s="129" t="str">
        <f t="shared" si="5"/>
        <v xml:space="preserve">Наименование системы теплоснабжения</v>
      </c>
      <c r="AQ45" s="129"/>
      <c r="AR45" s="129"/>
      <c r="AS45" s="50">
        <v>23</v>
      </c>
    </row>
    <row r="46" ht="22" customHeight="1">
      <c r="A46" s="493" t="s">
        <v>160</v>
      </c>
      <c r="B46" s="493" t="s">
        <v>161</v>
      </c>
      <c r="C46" s="493" t="s">
        <v>162</v>
      </c>
      <c r="D46" s="493" t="s">
        <v>163</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403</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404</v>
      </c>
      <c r="AO46" s="129"/>
      <c r="AP46" s="129" t="str">
        <f t="shared" si="5"/>
        <v xml:space="preserve">Источник тепловой энергии</v>
      </c>
      <c r="AQ46" s="129"/>
      <c r="AR46" s="129"/>
      <c r="AS46" s="50">
        <v>21</v>
      </c>
    </row>
    <row r="47" ht="49.5" customHeight="1">
      <c r="A47" s="493" t="s">
        <v>160</v>
      </c>
      <c r="B47" s="493" t="s">
        <v>161</v>
      </c>
      <c r="C47" s="493" t="s">
        <v>162</v>
      </c>
      <c r="D47" s="493" t="s">
        <v>163</v>
      </c>
      <c r="E47" s="505"/>
      <c r="F47" s="505"/>
      <c r="G47" s="505"/>
      <c r="H47" s="505"/>
      <c r="I47" s="512" t="str">
        <f>S46&amp;".1"</f>
        <v>....1</v>
      </c>
      <c r="J47" s="493"/>
      <c r="K47" s="493"/>
      <c r="L47" s="495" t="s">
        <v>405</v>
      </c>
      <c r="P47" s="132">
        <v>1</v>
      </c>
      <c r="Q47" s="132"/>
      <c r="R47" s="513"/>
      <c r="S47" s="498" t="str">
        <f>$I47</f>
        <v>....1</v>
      </c>
      <c r="T47" s="514" t="s">
        <v>406</v>
      </c>
      <c r="U47" s="500"/>
      <c r="V47" s="445"/>
      <c r="W47" s="515"/>
      <c r="X47" s="515"/>
      <c r="Y47" s="515"/>
      <c r="Z47" s="515"/>
      <c r="AA47" s="515"/>
      <c r="AB47" s="515"/>
      <c r="AC47" s="516"/>
      <c r="AD47" s="445"/>
      <c r="AE47" s="515"/>
      <c r="AF47" s="515"/>
      <c r="AG47" s="515"/>
      <c r="AH47" s="515"/>
      <c r="AI47" s="515"/>
      <c r="AJ47" s="515"/>
      <c r="AK47" s="515"/>
      <c r="AL47" s="516"/>
      <c r="AM47" s="504" t="s">
        <v>407</v>
      </c>
      <c r="AO47" s="129"/>
      <c r="AP47" s="129" t="str">
        <f t="shared" si="5"/>
        <v xml:space="preserve">Схема подключения теплопотребляющей установки к коллектору источника тепловой энергии</v>
      </c>
      <c r="AQ47" s="129"/>
      <c r="AR47" s="129"/>
      <c r="AS47" s="50">
        <v>47</v>
      </c>
    </row>
    <row r="48" ht="22" customHeight="1">
      <c r="A48" s="493" t="s">
        <v>160</v>
      </c>
      <c r="B48" s="493" t="s">
        <v>161</v>
      </c>
      <c r="C48" s="493" t="s">
        <v>162</v>
      </c>
      <c r="D48" s="493" t="s">
        <v>163</v>
      </c>
      <c r="E48" s="505"/>
      <c r="F48" s="505"/>
      <c r="G48" s="505"/>
      <c r="H48" s="505"/>
      <c r="I48" s="517"/>
      <c r="J48" s="512" t="str">
        <f>I47&amp;".1"</f>
        <v>....1.1</v>
      </c>
      <c r="K48" s="493"/>
      <c r="L48" s="495" t="s">
        <v>408</v>
      </c>
      <c r="P48" s="132"/>
      <c r="Q48" s="132">
        <v>1</v>
      </c>
      <c r="R48" s="518"/>
      <c r="S48" s="498" t="str">
        <f>$J48</f>
        <v>....1.1</v>
      </c>
      <c r="T48" s="519" t="s">
        <v>409</v>
      </c>
      <c r="U48" s="500"/>
      <c r="V48" s="445"/>
      <c r="W48" s="515"/>
      <c r="X48" s="515"/>
      <c r="Y48" s="515"/>
      <c r="Z48" s="515"/>
      <c r="AA48" s="515"/>
      <c r="AB48" s="515"/>
      <c r="AC48" s="516"/>
      <c r="AD48" s="445"/>
      <c r="AE48" s="515"/>
      <c r="AF48" s="515"/>
      <c r="AG48" s="515"/>
      <c r="AH48" s="515"/>
      <c r="AI48" s="515"/>
      <c r="AJ48" s="515"/>
      <c r="AK48" s="515"/>
      <c r="AL48" s="516"/>
      <c r="AM48" s="504" t="s">
        <v>410</v>
      </c>
      <c r="AO48" s="129"/>
      <c r="AP48" s="129" t="str">
        <f t="shared" si="5"/>
        <v xml:space="preserve">Группа потребителей</v>
      </c>
      <c r="AQ48" s="129"/>
      <c r="AR48" s="129"/>
      <c r="AS48" s="50">
        <v>21</v>
      </c>
    </row>
    <row r="49" ht="22" customHeight="1">
      <c r="A49" s="493" t="s">
        <v>160</v>
      </c>
      <c r="B49" s="493" t="s">
        <v>161</v>
      </c>
      <c r="C49" s="493" t="s">
        <v>162</v>
      </c>
      <c r="D49" s="493" t="s">
        <v>163</v>
      </c>
      <c r="E49" s="505"/>
      <c r="F49" s="505"/>
      <c r="G49" s="505"/>
      <c r="H49" s="505"/>
      <c r="I49" s="517"/>
      <c r="J49" s="517"/>
      <c r="K49" s="512" t="str">
        <f>J48&amp;".1"</f>
        <v>....1.1.1</v>
      </c>
      <c r="L49" s="495" t="s">
        <v>411</v>
      </c>
      <c r="P49" s="132"/>
      <c r="Q49" s="132"/>
      <c r="R49" s="518">
        <v>1</v>
      </c>
      <c r="S49" s="498" t="str">
        <f>$K49</f>
        <v>....1.1.1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412</v>
      </c>
      <c r="AN49" s="57" t="e">
        <f>STRCHECKDATE(V50:AL50)</f>
        <v>#NAME?</v>
      </c>
      <c r="AO49" s="129"/>
      <c r="AP49" s="129" t="str">
        <f t="shared" si="5"/>
        <v/>
      </c>
      <c r="AQ49" s="129"/>
      <c r="AR49" s="129"/>
      <c r="AS49" s="50">
        <v>21</v>
      </c>
    </row>
    <row r="50" ht="1.05" customHeight="1">
      <c r="A50" s="493" t="s">
        <v>160</v>
      </c>
      <c r="B50" s="493" t="s">
        <v>161</v>
      </c>
      <c r="C50" s="493" t="s">
        <v>162</v>
      </c>
      <c r="D50" s="493" t="s">
        <v>163</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5"/>
        <v/>
      </c>
      <c r="AQ50" s="129"/>
      <c r="AR50" s="129"/>
      <c r="AS50" s="50">
        <v>1</v>
      </c>
    </row>
    <row r="51" ht="11.5" customHeight="1">
      <c r="A51" s="493" t="s">
        <v>160</v>
      </c>
      <c r="B51" s="493" t="s">
        <v>161</v>
      </c>
      <c r="C51" s="493" t="s">
        <v>162</v>
      </c>
      <c r="D51" s="493" t="s">
        <v>163</v>
      </c>
      <c r="E51" s="505"/>
      <c r="F51" s="505"/>
      <c r="G51" s="505"/>
      <c r="H51" s="505"/>
      <c r="I51" s="517"/>
      <c r="J51" s="512"/>
      <c r="K51" s="493"/>
      <c r="L51" s="495"/>
      <c r="P51" s="132"/>
      <c r="Q51" s="132"/>
      <c r="R51" s="513"/>
      <c r="S51" s="529"/>
      <c r="T51" s="530" t="s">
        <v>413</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5"/>
        <v xml:space="preserve">Добавить вид теплоносителя (параметры теплоносителя)</v>
      </c>
      <c r="AQ51" s="129"/>
      <c r="AR51" s="129"/>
      <c r="AS51" s="50">
        <v>11</v>
      </c>
    </row>
    <row r="52" ht="11.5" customHeight="1">
      <c r="A52" s="493" t="s">
        <v>160</v>
      </c>
      <c r="B52" s="493" t="s">
        <v>161</v>
      </c>
      <c r="C52" s="493" t="s">
        <v>162</v>
      </c>
      <c r="D52" s="493" t="s">
        <v>163</v>
      </c>
      <c r="E52" s="505"/>
      <c r="F52" s="505"/>
      <c r="G52" s="505"/>
      <c r="H52" s="505"/>
      <c r="I52" s="512"/>
      <c r="J52" s="493"/>
      <c r="K52" s="493"/>
      <c r="L52" s="495"/>
      <c r="P52" s="132"/>
      <c r="Q52" s="132"/>
      <c r="R52" s="513"/>
      <c r="S52" s="529"/>
      <c r="T52" s="533" t="s">
        <v>414</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5"/>
        <v xml:space="preserve">Добавить группу потребителей</v>
      </c>
      <c r="AQ52" s="129"/>
      <c r="AR52" s="129"/>
      <c r="AS52" s="50">
        <v>11</v>
      </c>
    </row>
    <row r="53" ht="14.65" customHeight="1">
      <c r="A53" s="493" t="s">
        <v>160</v>
      </c>
      <c r="B53" s="493" t="s">
        <v>161</v>
      </c>
      <c r="C53" s="493" t="s">
        <v>162</v>
      </c>
      <c r="D53" s="493" t="s">
        <v>163</v>
      </c>
      <c r="E53" s="505"/>
      <c r="F53" s="505"/>
      <c r="G53" s="505"/>
      <c r="H53" s="494"/>
      <c r="I53" s="493"/>
      <c r="J53" s="493"/>
      <c r="K53" s="493"/>
      <c r="L53" s="495"/>
      <c r="M53" s="496"/>
      <c r="N53" s="496"/>
      <c r="O53" s="53"/>
      <c r="P53" s="143"/>
      <c r="Q53" s="536"/>
      <c r="R53" s="497"/>
      <c r="S53" s="529"/>
      <c r="T53" s="537" t="s">
        <v>415</v>
      </c>
      <c r="U53" s="214"/>
      <c r="V53" s="214"/>
      <c r="W53" s="214"/>
      <c r="X53" s="214"/>
      <c r="Y53" s="214"/>
      <c r="Z53" s="214"/>
      <c r="AA53" s="214"/>
      <c r="AB53" s="214"/>
      <c r="AC53" s="534"/>
      <c r="AD53" s="214"/>
      <c r="AE53" s="214"/>
      <c r="AF53" s="214"/>
      <c r="AG53" s="214"/>
      <c r="AH53" s="214"/>
      <c r="AI53" s="214"/>
      <c r="AJ53" s="214"/>
      <c r="AK53" s="534"/>
      <c r="AL53" s="214"/>
      <c r="AM53" s="535"/>
      <c r="AO53" s="129"/>
      <c r="AP53" s="129" t="str">
        <f t="shared" si="5"/>
        <v xml:space="preserve">Добавить схему подключения</v>
      </c>
      <c r="AQ53" s="129"/>
      <c r="AR53" s="129"/>
      <c r="AS53" s="50">
        <v>14</v>
      </c>
    </row>
    <row r="54" s="57" customFormat="1" ht="1.05" customHeight="1">
      <c r="A54" s="133" t="s">
        <v>160</v>
      </c>
      <c r="B54" s="133" t="s">
        <v>161</v>
      </c>
      <c r="C54" s="133" t="s">
        <v>162</v>
      </c>
      <c r="D54" s="133"/>
      <c r="E54" s="505"/>
      <c r="F54" s="505"/>
      <c r="G54" s="494"/>
      <c r="H54" s="133"/>
      <c r="I54" s="133"/>
      <c r="J54" s="133"/>
      <c r="K54" s="133"/>
      <c r="L54" s="212"/>
      <c r="M54" s="478"/>
      <c r="N54" s="478"/>
      <c r="P54" s="167"/>
      <c r="Q54" s="538"/>
      <c r="R54" s="167"/>
      <c r="S54" s="543"/>
      <c r="T54" s="546" t="s">
        <v>416</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5"/>
        <v xml:space="preserve">Добавить источник для дифференциации</v>
      </c>
      <c r="AQ54" s="129"/>
      <c r="AR54" s="129"/>
      <c r="AS54" s="57">
        <v>1</v>
      </c>
    </row>
    <row r="55" s="57" customFormat="1" ht="1.05" customHeight="1">
      <c r="A55" s="133" t="s">
        <v>160</v>
      </c>
      <c r="B55" s="133" t="s">
        <v>161</v>
      </c>
      <c r="C55" s="133"/>
      <c r="D55" s="133"/>
      <c r="E55" s="505"/>
      <c r="F55" s="494"/>
      <c r="G55" s="133"/>
      <c r="H55" s="133"/>
      <c r="I55" s="133"/>
      <c r="J55" s="133"/>
      <c r="K55" s="133"/>
      <c r="L55" s="212"/>
      <c r="M55" s="542"/>
      <c r="N55" s="542"/>
      <c r="P55" s="167"/>
      <c r="Q55" s="538"/>
      <c r="R55" s="167"/>
      <c r="S55" s="543"/>
      <c r="T55" s="546" t="s">
        <v>238</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5"/>
        <v xml:space="preserve">Добавить централизованную систему для дифференциации</v>
      </c>
      <c r="AQ55" s="129"/>
      <c r="AR55" s="129"/>
      <c r="AS55" s="57">
        <v>1</v>
      </c>
    </row>
    <row r="56" s="57" customFormat="1" ht="1.05" customHeight="1">
      <c r="A56" s="133" t="s">
        <v>160</v>
      </c>
      <c r="B56" s="133"/>
      <c r="C56" s="133"/>
      <c r="D56" s="133"/>
      <c r="E56" s="494"/>
      <c r="F56" s="133"/>
      <c r="G56" s="133"/>
      <c r="H56" s="133"/>
      <c r="I56" s="133"/>
      <c r="J56" s="133"/>
      <c r="K56" s="133"/>
      <c r="L56" s="212"/>
      <c r="M56" s="542"/>
      <c r="N56" s="542"/>
      <c r="O56" s="57"/>
      <c r="P56" s="167"/>
      <c r="Q56" s="538"/>
      <c r="R56" s="167"/>
      <c r="S56" s="543"/>
      <c r="T56" s="546" t="s">
        <v>239</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42"/>
      <c r="N57" s="542"/>
      <c r="P57" s="167"/>
      <c r="Q57" s="538"/>
      <c r="R57" s="167"/>
      <c r="S57" s="543"/>
      <c r="T57" s="546" t="s">
        <v>240</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27</v>
      </c>
    </row>
    <row r="60" ht="65.25" customHeight="1">
      <c r="O60" s="53"/>
      <c r="T60" s="588"/>
      <c r="U60" s="588"/>
      <c r="V60" s="588"/>
      <c r="W60" s="588"/>
      <c r="X60" s="588"/>
      <c r="Y60" s="588"/>
      <c r="Z60" s="588"/>
      <c r="AA60" s="588"/>
      <c r="AB60" s="588"/>
      <c r="AC60" s="588"/>
      <c r="AD60" s="588"/>
      <c r="AE60" s="588"/>
      <c r="AF60" s="588"/>
      <c r="AG60" s="588"/>
      <c r="AH60" s="588"/>
      <c r="AI60" s="588"/>
      <c r="AJ60" s="588"/>
      <c r="AK60" s="588"/>
      <c r="AL60" s="588"/>
      <c r="AM60" s="588"/>
      <c r="AS60" s="50">
        <v>62</v>
      </c>
    </row>
    <row r="61" ht="14.65" customHeight="1">
      <c r="O61" s="53"/>
      <c r="AS61" s="50">
        <v>14</v>
      </c>
    </row>
    <row r="62" ht="18.75" customHeight="1">
      <c r="O62" s="53"/>
      <c r="S62" s="490"/>
      <c r="T62" s="588"/>
      <c r="U62" s="588"/>
      <c r="V62" s="588"/>
      <c r="W62" s="588"/>
      <c r="X62" s="588"/>
      <c r="Y62" s="588"/>
      <c r="Z62" s="588"/>
      <c r="AA62" s="588"/>
      <c r="AB62" s="588"/>
      <c r="AC62" s="588"/>
      <c r="AD62" s="588"/>
      <c r="AE62" s="588"/>
      <c r="AF62" s="588"/>
      <c r="AG62" s="588"/>
      <c r="AH62" s="588"/>
      <c r="AI62" s="588"/>
      <c r="AJ62" s="588"/>
      <c r="AK62" s="588"/>
      <c r="AL62" s="588"/>
      <c r="AM62" s="588"/>
      <c r="AS62" s="50">
        <v>18</v>
      </c>
    </row>
    <row r="63" ht="18.75" customHeight="1">
      <c r="O63" s="53"/>
      <c r="T63" s="588"/>
      <c r="U63" s="588"/>
      <c r="V63" s="588"/>
      <c r="W63" s="588"/>
      <c r="X63" s="588"/>
      <c r="Y63" s="588"/>
      <c r="Z63" s="588"/>
      <c r="AA63" s="588"/>
      <c r="AB63" s="588"/>
      <c r="AC63" s="588"/>
      <c r="AD63" s="588"/>
      <c r="AE63" s="588"/>
      <c r="AF63" s="588"/>
      <c r="AG63" s="588"/>
      <c r="AH63" s="588"/>
      <c r="AI63" s="588"/>
      <c r="AJ63" s="588"/>
      <c r="AK63" s="588"/>
      <c r="AL63" s="588"/>
      <c r="AM63" s="588"/>
      <c r="AS63" s="50">
        <v>18</v>
      </c>
    </row>
    <row r="64" ht="29.25" customHeight="1">
      <c r="O64" s="53"/>
      <c r="S64" s="490"/>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2">
        <v>3</v>
      </c>
      <c r="R65" s="492">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10077-0053-40AF-8C09-00BD003C00E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49009E-00AC-4642-9391-006E006D009A}"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50048-0079-4D40-96D8-0014000F00BE}"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C007C-0046-4C13-B675-00F3006B0070}"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89">
        <v>1</v>
      </c>
      <c r="F2" s="264"/>
      <c r="G2" s="264"/>
      <c r="H2" s="264"/>
      <c r="I2" s="264"/>
      <c r="J2" s="264"/>
      <c r="K2" s="264"/>
      <c r="L2" s="337"/>
      <c r="M2" s="86"/>
      <c r="N2" s="86"/>
      <c r="O2" s="8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398</v>
      </c>
      <c r="AO2" s="129"/>
      <c r="AP2" s="129" t="str">
        <f t="shared" ref="AP2:AP9" si="6">IF(T2="","",T2)</f>
        <v xml:space="preserve">Наименование тарифа</v>
      </c>
      <c r="AQ2" s="129"/>
      <c r="AR2" s="129"/>
      <c r="AS2" s="50">
        <v>0</v>
      </c>
    </row>
    <row r="3" ht="21" hidden="1" customHeight="1">
      <c r="A3" s="264"/>
      <c r="B3" s="264"/>
      <c r="C3" s="264"/>
      <c r="D3" s="264"/>
      <c r="E3" s="590"/>
      <c r="F3" s="589">
        <v>1</v>
      </c>
      <c r="G3" s="264"/>
      <c r="H3" s="264"/>
      <c r="I3" s="264"/>
      <c r="J3" s="264"/>
      <c r="K3" s="264"/>
      <c r="L3" s="337"/>
      <c r="M3" s="86"/>
      <c r="N3" s="86"/>
      <c r="O3" s="86"/>
      <c r="P3" s="51"/>
      <c r="Q3" s="506"/>
      <c r="R3" s="507"/>
      <c r="S3" s="498" t="e">
        <f>INDEX(PT_DIFFERENTIATION_NUM_TER,MATCH(B3,PT_DIFFERENTIATION_TER_ID,0))</f>
        <v>#VALUE!</v>
      </c>
      <c r="T3" s="508" t="s">
        <v>399</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400</v>
      </c>
      <c r="AO3" s="129"/>
      <c r="AP3" s="129" t="str">
        <f t="shared" si="6"/>
        <v xml:space="preserve">Территория действия тарифа</v>
      </c>
      <c r="AQ3" s="129"/>
      <c r="AR3" s="129"/>
      <c r="AS3" s="50">
        <v>0</v>
      </c>
    </row>
    <row r="4" ht="23.25" hidden="1" customHeight="1">
      <c r="A4" s="264"/>
      <c r="B4" s="264"/>
      <c r="C4" s="264"/>
      <c r="D4" s="264"/>
      <c r="E4" s="590"/>
      <c r="F4" s="590"/>
      <c r="G4" s="589">
        <v>1</v>
      </c>
      <c r="H4" s="264"/>
      <c r="I4" s="264"/>
      <c r="J4" s="264"/>
      <c r="K4" s="264"/>
      <c r="L4" s="337"/>
      <c r="M4" s="86"/>
      <c r="N4" s="86"/>
      <c r="O4" s="86"/>
      <c r="P4" s="509"/>
      <c r="Q4" s="506"/>
      <c r="R4" s="507"/>
      <c r="S4" s="498" t="e">
        <f>INDEX(PT_DIFFERENTIATION_NUM_CS,MATCH(C4,PT_DIFFERENTIATION_CS_ID,0))</f>
        <v>#VALUE!</v>
      </c>
      <c r="T4" s="510" t="s">
        <v>401</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402</v>
      </c>
      <c r="AO4" s="129"/>
      <c r="AP4" s="129" t="str">
        <f t="shared" si="6"/>
        <v xml:space="preserve">Наименование системы теплоснабжения</v>
      </c>
      <c r="AQ4" s="129"/>
      <c r="AR4" s="129"/>
      <c r="AS4" s="50">
        <v>0</v>
      </c>
    </row>
    <row r="5" ht="21" hidden="1" customHeight="1">
      <c r="A5" s="264"/>
      <c r="B5" s="264"/>
      <c r="C5" s="264"/>
      <c r="D5" s="264"/>
      <c r="E5" s="590"/>
      <c r="F5" s="590"/>
      <c r="G5" s="590"/>
      <c r="H5" s="589">
        <v>1</v>
      </c>
      <c r="I5" s="264"/>
      <c r="J5" s="264"/>
      <c r="K5" s="264"/>
      <c r="L5" s="337"/>
      <c r="M5" s="86"/>
      <c r="N5" s="86"/>
      <c r="O5" s="86"/>
      <c r="P5" s="509"/>
      <c r="Q5" s="506"/>
      <c r="R5" s="507"/>
      <c r="S5" s="498" t="e">
        <f>INDEX(PT_DIFFERENTIATION_NUM_IST_TE,MATCH(D5,PT_DIFFERENTIATION_IST_TE_ID,0))</f>
        <v>#VALUE!</v>
      </c>
      <c r="T5" s="511" t="s">
        <v>403</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404</v>
      </c>
      <c r="AO5" s="129"/>
      <c r="AP5" s="129" t="str">
        <f t="shared" si="6"/>
        <v xml:space="preserve">Источник тепловой энергии</v>
      </c>
      <c r="AQ5" s="129"/>
      <c r="AR5" s="129"/>
      <c r="AS5" s="50">
        <v>0</v>
      </c>
    </row>
    <row r="6" ht="47.25" hidden="1" customHeight="1">
      <c r="A6" s="264"/>
      <c r="B6" s="264"/>
      <c r="C6" s="264"/>
      <c r="D6" s="264"/>
      <c r="E6" s="590"/>
      <c r="F6" s="590"/>
      <c r="G6" s="590"/>
      <c r="H6" s="590"/>
      <c r="I6" s="157" t="e">
        <f>S5&amp;".1"</f>
        <v>#VALUE!</v>
      </c>
      <c r="J6" s="264"/>
      <c r="K6" s="264"/>
      <c r="L6" s="337" t="s">
        <v>405</v>
      </c>
      <c r="M6" s="50"/>
      <c r="P6" s="132">
        <v>1</v>
      </c>
      <c r="Q6" s="132"/>
      <c r="R6" s="513"/>
      <c r="S6" s="498" t="e">
        <f>$I6</f>
        <v>#VALUE!</v>
      </c>
      <c r="T6" s="514" t="s">
        <v>406</v>
      </c>
      <c r="U6" s="500"/>
      <c r="V6" s="445"/>
      <c r="W6" s="515"/>
      <c r="X6" s="515"/>
      <c r="Y6" s="515"/>
      <c r="Z6" s="515"/>
      <c r="AA6" s="515"/>
      <c r="AB6" s="515"/>
      <c r="AC6" s="516"/>
      <c r="AD6" s="445"/>
      <c r="AE6" s="515"/>
      <c r="AF6" s="515"/>
      <c r="AG6" s="515"/>
      <c r="AH6" s="515"/>
      <c r="AI6" s="515"/>
      <c r="AJ6" s="515"/>
      <c r="AK6" s="515"/>
      <c r="AL6" s="516"/>
      <c r="AM6" s="504" t="s">
        <v>407</v>
      </c>
      <c r="AO6" s="129"/>
      <c r="AP6" s="129" t="str">
        <f t="shared" si="6"/>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90"/>
      <c r="F7" s="590"/>
      <c r="G7" s="590"/>
      <c r="H7" s="590"/>
      <c r="I7" s="73"/>
      <c r="J7" s="157" t="e">
        <f>I6&amp;".1"</f>
        <v>#VALUE!</v>
      </c>
      <c r="K7" s="264"/>
      <c r="L7" s="337" t="s">
        <v>408</v>
      </c>
      <c r="M7" s="50"/>
      <c r="N7" s="50"/>
      <c r="P7" s="132"/>
      <c r="Q7" s="132">
        <v>1</v>
      </c>
      <c r="R7" s="518"/>
      <c r="S7" s="498" t="e">
        <f>$J7</f>
        <v>#VALUE!</v>
      </c>
      <c r="T7" s="519" t="s">
        <v>409</v>
      </c>
      <c r="U7" s="500"/>
      <c r="V7" s="445"/>
      <c r="W7" s="515"/>
      <c r="X7" s="515"/>
      <c r="Y7" s="515"/>
      <c r="Z7" s="515"/>
      <c r="AA7" s="515"/>
      <c r="AB7" s="515"/>
      <c r="AC7" s="516"/>
      <c r="AD7" s="445"/>
      <c r="AE7" s="515"/>
      <c r="AF7" s="515"/>
      <c r="AG7" s="515"/>
      <c r="AH7" s="515"/>
      <c r="AI7" s="515"/>
      <c r="AJ7" s="515"/>
      <c r="AK7" s="515"/>
      <c r="AL7" s="516"/>
      <c r="AM7" s="504" t="s">
        <v>410</v>
      </c>
      <c r="AO7" s="129"/>
      <c r="AP7" s="129" t="str">
        <f t="shared" si="6"/>
        <v xml:space="preserve">Группа потребителей</v>
      </c>
      <c r="AQ7" s="129"/>
      <c r="AR7" s="129"/>
      <c r="AS7" s="50">
        <v>0</v>
      </c>
    </row>
    <row r="8" ht="21" hidden="1" customHeight="1">
      <c r="A8" s="264"/>
      <c r="B8" s="264"/>
      <c r="C8" s="264"/>
      <c r="D8" s="264"/>
      <c r="E8" s="590"/>
      <c r="F8" s="590"/>
      <c r="G8" s="590"/>
      <c r="H8" s="590"/>
      <c r="I8" s="73"/>
      <c r="J8" s="73"/>
      <c r="K8" s="157" t="e">
        <f>J7&amp;".1"</f>
        <v>#VALUE!</v>
      </c>
      <c r="L8" s="337" t="s">
        <v>411</v>
      </c>
      <c r="M8" s="50"/>
      <c r="N8" s="50"/>
      <c r="O8" s="50"/>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412</v>
      </c>
      <c r="AN8" s="57" t="e">
        <f>STRCHECKDATE(V9:AL9)</f>
        <v>#NAME?</v>
      </c>
      <c r="AO8" s="129"/>
      <c r="AP8" s="129" t="str">
        <f t="shared" si="6"/>
        <v/>
      </c>
      <c r="AQ8" s="129"/>
      <c r="AR8" s="129"/>
      <c r="AS8" s="50">
        <v>0</v>
      </c>
    </row>
    <row r="9" ht="0.75" hidden="1" customHeight="1">
      <c r="A9" s="264"/>
      <c r="B9" s="264"/>
      <c r="C9" s="264"/>
      <c r="D9" s="264"/>
      <c r="E9" s="590"/>
      <c r="F9" s="590"/>
      <c r="G9" s="590"/>
      <c r="H9" s="590"/>
      <c r="I9" s="73"/>
      <c r="J9" s="73"/>
      <c r="K9" s="157"/>
      <c r="L9" s="337"/>
      <c r="M9" s="50"/>
      <c r="N9" s="50"/>
      <c r="O9" s="50"/>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6"/>
        <v/>
      </c>
      <c r="AQ9" s="129"/>
      <c r="AR9" s="129"/>
      <c r="AS9" s="50">
        <v>0</v>
      </c>
    </row>
    <row r="10" ht="15" hidden="1" customHeight="1">
      <c r="A10" s="264"/>
      <c r="B10" s="264"/>
      <c r="C10" s="264"/>
      <c r="D10" s="264"/>
      <c r="E10" s="590"/>
      <c r="F10" s="590"/>
      <c r="G10" s="590"/>
      <c r="H10" s="590"/>
      <c r="I10" s="73"/>
      <c r="J10" s="157"/>
      <c r="K10" s="264"/>
      <c r="L10" s="337"/>
      <c r="M10" s="50"/>
      <c r="N10" s="50"/>
      <c r="P10" s="132"/>
      <c r="Q10" s="132"/>
      <c r="R10" s="513"/>
      <c r="S10" s="529"/>
      <c r="T10" s="530" t="s">
        <v>413</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7">IF(T10="","",T10)</f>
        <v xml:space="preserve">Добавить вид теплоносителя (параметры теплоносителя)</v>
      </c>
      <c r="AQ10" s="129"/>
      <c r="AR10" s="129"/>
      <c r="AS10" s="50">
        <v>0</v>
      </c>
    </row>
    <row r="11" ht="15" hidden="1" customHeight="1">
      <c r="A11" s="264"/>
      <c r="B11" s="264"/>
      <c r="C11" s="264"/>
      <c r="D11" s="264"/>
      <c r="E11" s="590"/>
      <c r="F11" s="590"/>
      <c r="G11" s="590"/>
      <c r="H11" s="590"/>
      <c r="I11" s="157"/>
      <c r="J11" s="264"/>
      <c r="K11" s="264"/>
      <c r="L11" s="337"/>
      <c r="M11" s="50"/>
      <c r="P11" s="132"/>
      <c r="Q11" s="132"/>
      <c r="R11" s="513"/>
      <c r="S11" s="529"/>
      <c r="T11" s="533" t="s">
        <v>414</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7"/>
        <v xml:space="preserve">Добавить группу потребителей</v>
      </c>
      <c r="AQ11" s="129"/>
      <c r="AR11" s="129"/>
      <c r="AS11" s="50">
        <v>0</v>
      </c>
    </row>
    <row r="12" ht="14.25" hidden="1" customHeight="1">
      <c r="A12" s="264"/>
      <c r="B12" s="264"/>
      <c r="C12" s="264"/>
      <c r="D12" s="264"/>
      <c r="E12" s="590"/>
      <c r="F12" s="590"/>
      <c r="G12" s="590"/>
      <c r="H12" s="589"/>
      <c r="I12" s="264"/>
      <c r="J12" s="264"/>
      <c r="K12" s="264"/>
      <c r="L12" s="337"/>
      <c r="M12" s="86"/>
      <c r="N12" s="86"/>
      <c r="O12" s="50"/>
      <c r="P12" s="143"/>
      <c r="Q12" s="536"/>
      <c r="R12" s="497"/>
      <c r="S12" s="529"/>
      <c r="T12" s="537" t="s">
        <v>415</v>
      </c>
      <c r="U12" s="214"/>
      <c r="V12" s="214"/>
      <c r="W12" s="214"/>
      <c r="X12" s="214"/>
      <c r="Y12" s="214"/>
      <c r="Z12" s="214"/>
      <c r="AA12" s="214"/>
      <c r="AB12" s="214"/>
      <c r="AC12" s="534"/>
      <c r="AD12" s="214"/>
      <c r="AE12" s="214"/>
      <c r="AF12" s="214"/>
      <c r="AG12" s="214"/>
      <c r="AH12" s="214"/>
      <c r="AI12" s="214"/>
      <c r="AJ12" s="214"/>
      <c r="AK12" s="534"/>
      <c r="AL12" s="214"/>
      <c r="AM12" s="535"/>
      <c r="AO12" s="129"/>
      <c r="AP12" s="129" t="str">
        <f t="shared" si="7"/>
        <v xml:space="preserve">Добавить схему подключения</v>
      </c>
      <c r="AQ12" s="129"/>
      <c r="AR12" s="129"/>
      <c r="AS12" s="50">
        <v>0</v>
      </c>
    </row>
    <row r="13" s="57" customFormat="1" ht="0.75" hidden="1" customHeight="1">
      <c r="A13" s="591"/>
      <c r="B13" s="591"/>
      <c r="C13" s="591"/>
      <c r="D13" s="591"/>
      <c r="E13" s="590"/>
      <c r="F13" s="590"/>
      <c r="G13" s="589"/>
      <c r="H13" s="591"/>
      <c r="I13" s="591"/>
      <c r="J13" s="591"/>
      <c r="K13" s="591"/>
      <c r="L13" s="592"/>
      <c r="M13" s="593"/>
      <c r="N13" s="593"/>
      <c r="O13" s="131"/>
      <c r="P13" s="167"/>
      <c r="Q13" s="538"/>
      <c r="R13" s="167"/>
      <c r="S13" s="539"/>
      <c r="T13" s="540" t="s">
        <v>416</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7"/>
        <v xml:space="preserve">Добавить источник для дифференциации</v>
      </c>
      <c r="AQ13" s="129"/>
      <c r="AR13" s="129"/>
      <c r="AS13" s="57">
        <v>0</v>
      </c>
    </row>
    <row r="14" s="57" customFormat="1" ht="0.75" hidden="1" customHeight="1">
      <c r="A14" s="591"/>
      <c r="B14" s="591"/>
      <c r="C14" s="591"/>
      <c r="D14" s="591"/>
      <c r="E14" s="590"/>
      <c r="F14" s="589"/>
      <c r="G14" s="591"/>
      <c r="H14" s="591"/>
      <c r="I14" s="591"/>
      <c r="J14" s="591"/>
      <c r="K14" s="591"/>
      <c r="L14" s="592"/>
      <c r="M14" s="594"/>
      <c r="N14" s="594"/>
      <c r="O14" s="131"/>
      <c r="P14" s="167"/>
      <c r="Q14" s="538"/>
      <c r="R14" s="167"/>
      <c r="S14" s="543"/>
      <c r="T14" s="544" t="s">
        <v>238</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7"/>
        <v xml:space="preserve">Добавить централизованную систему для дифференциации</v>
      </c>
      <c r="AQ14" s="129"/>
      <c r="AR14" s="129"/>
      <c r="AS14" s="57">
        <v>0</v>
      </c>
    </row>
    <row r="15" s="57" customFormat="1" ht="0.75" hidden="1" customHeight="1">
      <c r="A15" s="591"/>
      <c r="B15" s="591"/>
      <c r="C15" s="591"/>
      <c r="D15" s="591"/>
      <c r="E15" s="589"/>
      <c r="F15" s="591"/>
      <c r="G15" s="591"/>
      <c r="H15" s="591"/>
      <c r="I15" s="591"/>
      <c r="J15" s="591"/>
      <c r="K15" s="591"/>
      <c r="L15" s="592"/>
      <c r="M15" s="594"/>
      <c r="N15" s="594"/>
      <c r="O15" s="131"/>
      <c r="P15" s="167"/>
      <c r="Q15" s="538"/>
      <c r="R15" s="167"/>
      <c r="S15" s="543"/>
      <c r="T15" s="546" t="s">
        <v>239</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7"/>
        <v xml:space="preserve">Добавить территорию для дифференциации</v>
      </c>
      <c r="AQ15" s="129"/>
      <c r="AR15" s="129"/>
      <c r="AS15" s="57">
        <v>0</v>
      </c>
    </row>
    <row r="16" ht="14.25" hidden="1" customHeight="1">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5" t="s">
        <v>417</v>
      </c>
      <c r="P20" s="61"/>
      <c r="Q20" s="552"/>
      <c r="R20" s="552"/>
      <c r="S20" s="496"/>
      <c r="Z20" s="551"/>
      <c r="AB20" s="551"/>
      <c r="AH20" s="551"/>
      <c r="AJ20" s="551"/>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2"/>
      <c r="R21" s="552"/>
      <c r="S21" s="496"/>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7" t="s">
        <v>418</v>
      </c>
      <c r="P22" s="61"/>
      <c r="Q22" s="552"/>
      <c r="R22" s="552"/>
      <c r="S22" s="496"/>
      <c r="T22" s="53" t="s">
        <v>419</v>
      </c>
      <c r="AA22" s="151" t="s">
        <v>420</v>
      </c>
      <c r="AC22" s="151" t="s">
        <v>421</v>
      </c>
      <c r="AD22" s="53" t="s">
        <v>419</v>
      </c>
      <c r="AI22" s="151" t="s">
        <v>422</v>
      </c>
      <c r="AK22" s="151" t="s">
        <v>421</v>
      </c>
      <c r="AN22" s="57"/>
      <c r="AO22" s="57"/>
      <c r="AP22" s="57"/>
      <c r="AQ22" s="57"/>
      <c r="AR22" s="57"/>
      <c r="AS22" s="53">
        <v>0</v>
      </c>
    </row>
    <row r="23" ht="14.25" hidden="1" customHeight="1">
      <c r="O23" s="337"/>
      <c r="AS23" s="50">
        <v>0</v>
      </c>
    </row>
    <row r="24" ht="14.25" hidden="1" customHeight="1">
      <c r="O24" s="337"/>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14.65" customHeight="1">
      <c r="Q26" s="553"/>
      <c r="R26" s="553"/>
      <c r="S26" s="466"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6"/>
      <c r="U26" s="466"/>
      <c r="V26" s="466"/>
      <c r="W26" s="466"/>
      <c r="X26" s="466"/>
      <c r="Y26" s="466"/>
      <c r="Z26" s="466"/>
      <c r="AA26" s="466"/>
      <c r="AB26" s="466"/>
      <c r="AC26" s="466"/>
      <c r="AD26" s="466"/>
      <c r="AE26" s="466"/>
      <c r="AF26" s="466"/>
      <c r="AG26" s="466"/>
      <c r="AH26" s="466"/>
      <c r="AI26" s="466"/>
      <c r="AJ26" s="466"/>
      <c r="AK26" s="240"/>
      <c r="AS26" s="50">
        <v>14</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06"/>
      <c r="B29" s="106"/>
      <c r="C29" s="106"/>
      <c r="D29" s="106"/>
      <c r="E29" s="106"/>
      <c r="F29" s="106"/>
      <c r="G29" s="106"/>
      <c r="H29" s="106"/>
      <c r="I29" s="106"/>
      <c r="J29" s="106"/>
      <c r="K29" s="106"/>
      <c r="L29" s="337"/>
      <c r="M29" s="106"/>
      <c r="N29" s="106"/>
      <c r="O29" s="106"/>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06"/>
      <c r="B30" s="106"/>
      <c r="C30" s="106"/>
      <c r="D30" s="106"/>
      <c r="E30" s="106"/>
      <c r="F30" s="106"/>
      <c r="G30" s="106"/>
      <c r="H30" s="106"/>
      <c r="I30" s="106"/>
      <c r="J30" s="106"/>
      <c r="K30" s="106"/>
      <c r="L30" s="337"/>
      <c r="M30" s="106"/>
      <c r="N30" s="106"/>
      <c r="O30" s="106"/>
      <c r="S30" s="556" t="s">
        <v>423</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06"/>
      <c r="B31" s="106"/>
      <c r="C31" s="106"/>
      <c r="D31" s="106"/>
      <c r="E31" s="106"/>
      <c r="F31" s="106"/>
      <c r="G31" s="106"/>
      <c r="H31" s="106"/>
      <c r="I31" s="106"/>
      <c r="J31" s="106"/>
      <c r="K31" s="106"/>
      <c r="L31" s="337"/>
      <c r="M31" s="106"/>
      <c r="N31" s="106"/>
      <c r="O31" s="106"/>
      <c r="S31" s="556" t="s">
        <v>424</v>
      </c>
      <c r="T31" s="556"/>
      <c r="U31" s="557"/>
      <c r="V31" s="558" t="str">
        <f>IF(TITLE_NUMBER_PR_CHANGE="",IF(TITLE_NUMBER_PR="","",TITLE_NUMBER_PR),TITLE_NUMBER_PR_CHANGE)</f>
        <v>ПГ/01/950</v>
      </c>
      <c r="W31" s="558"/>
      <c r="X31" s="558"/>
      <c r="Y31" s="558"/>
      <c r="Z31" s="558"/>
      <c r="AA31" s="558"/>
      <c r="AB31" s="558"/>
      <c r="AC31" s="50"/>
      <c r="AD31" s="558" t="str">
        <f>IF(TITLE_NUMBER_PR_CHANGE="",IF(TITLE_NUMBER_PR="","",TITLE_NUMBER_PR),TITLE_NUMBER_PR_CHANGE)</f>
        <v>ПГ/01/950</v>
      </c>
      <c r="AE31" s="558"/>
      <c r="AF31" s="558"/>
      <c r="AG31" s="558"/>
      <c r="AH31" s="558"/>
      <c r="AI31" s="558"/>
      <c r="AJ31" s="558"/>
      <c r="AK31" s="50"/>
      <c r="AL31" s="50"/>
      <c r="AM31" s="559"/>
      <c r="AN31" s="129"/>
      <c r="AO31" s="129"/>
      <c r="AP31" s="129"/>
      <c r="AQ31" s="129"/>
      <c r="AR31" s="129"/>
      <c r="AS31" s="184">
        <v>0</v>
      </c>
    </row>
    <row r="32" s="184" customFormat="1" ht="18.75" hidden="1" customHeight="1">
      <c r="A32" s="106"/>
      <c r="B32" s="106"/>
      <c r="C32" s="106"/>
      <c r="D32" s="106"/>
      <c r="E32" s="106"/>
      <c r="F32" s="106"/>
      <c r="G32" s="106"/>
      <c r="H32" s="106"/>
      <c r="I32" s="106"/>
      <c r="J32" s="106"/>
      <c r="K32" s="106"/>
      <c r="L32" s="337"/>
      <c r="M32" s="106"/>
      <c r="N32" s="106"/>
      <c r="O32" s="106"/>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hidden="1"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hidden="1" customHeight="1">
      <c r="A34" s="106"/>
      <c r="B34" s="106"/>
      <c r="C34" s="106"/>
      <c r="D34" s="106"/>
      <c r="E34" s="106"/>
      <c r="F34" s="106"/>
      <c r="G34" s="106"/>
      <c r="H34" s="106"/>
      <c r="I34" s="106"/>
      <c r="J34" s="106"/>
      <c r="K34" s="106"/>
      <c r="L34" s="337"/>
      <c r="M34" s="106"/>
      <c r="N34" s="106"/>
      <c r="O34" s="106"/>
      <c r="S34" s="556" t="s">
        <v>425</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hidden="1" customHeight="1">
      <c r="A35" s="106"/>
      <c r="B35" s="106"/>
      <c r="C35" s="106"/>
      <c r="D35" s="106"/>
      <c r="E35" s="106"/>
      <c r="F35" s="106"/>
      <c r="G35" s="106"/>
      <c r="H35" s="106"/>
      <c r="I35" s="106"/>
      <c r="J35" s="106"/>
      <c r="K35" s="106"/>
      <c r="L35" s="337"/>
      <c r="M35" s="106"/>
      <c r="N35" s="106"/>
      <c r="O35" s="106"/>
      <c r="S35" s="556" t="s">
        <v>426</v>
      </c>
      <c r="T35" s="556"/>
      <c r="U35" s="557"/>
      <c r="V35" s="558" t="str">
        <f>IF(TITLE_NUMBER_PR_CHANGE="",IF(TITLE_NUMBER_PR="","",TITLE_NUMBER_PR),TITLE_NUMBER_PR_CHANGE)</f>
        <v>ПГ/01/950</v>
      </c>
      <c r="W35" s="558"/>
      <c r="X35" s="558"/>
      <c r="Y35" s="558"/>
      <c r="Z35" s="558"/>
      <c r="AA35" s="558"/>
      <c r="AB35" s="558"/>
      <c r="AC35" s="50"/>
      <c r="AD35" s="558" t="str">
        <f>IF(TITLE_NUMBER_PR_CHANGE="",IF(TITLE_NUMBER_PR="","",TITLE_NUMBER_PR),TITLE_NUMBER_PR_CHANGE)</f>
        <v>ПГ/01/950</v>
      </c>
      <c r="AE35" s="558"/>
      <c r="AF35" s="558"/>
      <c r="AG35" s="558"/>
      <c r="AH35" s="558"/>
      <c r="AI35" s="558"/>
      <c r="AJ35" s="558"/>
      <c r="AK35" s="50"/>
      <c r="AL35" s="50"/>
      <c r="AM35" s="559"/>
      <c r="AN35" s="129"/>
      <c r="AO35" s="129"/>
      <c r="AP35" s="129"/>
      <c r="AQ35" s="129"/>
      <c r="AR35" s="129"/>
      <c r="AS35" s="184">
        <v>0</v>
      </c>
    </row>
    <row r="36" s="184" customFormat="1" ht="0" customHeight="1">
      <c r="A36" s="106"/>
      <c r="B36" s="106"/>
      <c r="C36" s="106"/>
      <c r="D36" s="106"/>
      <c r="E36" s="106"/>
      <c r="F36" s="106"/>
      <c r="G36" s="106"/>
      <c r="H36" s="106"/>
      <c r="I36" s="106"/>
      <c r="J36" s="106"/>
      <c r="K36" s="106"/>
      <c r="L36" s="337"/>
      <c r="M36" s="106"/>
      <c r="N36" s="106"/>
      <c r="O36" s="106"/>
      <c r="S36" s="50"/>
      <c r="T36" s="50"/>
      <c r="U36" s="140"/>
      <c r="V36" s="50"/>
      <c r="W36" s="50"/>
      <c r="X36" s="50"/>
      <c r="Y36" s="50"/>
      <c r="Z36" s="50"/>
      <c r="AA36" s="50"/>
      <c r="AB36" s="50"/>
      <c r="AC36" s="57" t="s">
        <v>427</v>
      </c>
      <c r="AD36" s="50"/>
      <c r="AE36" s="50"/>
      <c r="AF36" s="50"/>
      <c r="AG36" s="50"/>
      <c r="AH36" s="50"/>
      <c r="AI36" s="50"/>
      <c r="AJ36" s="50"/>
      <c r="AK36" s="57" t="s">
        <v>427</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302</v>
      </c>
      <c r="T38" s="157"/>
      <c r="U38" s="157"/>
      <c r="V38" s="157"/>
      <c r="W38" s="157"/>
      <c r="X38" s="157"/>
      <c r="Y38" s="157"/>
      <c r="Z38" s="157"/>
      <c r="AA38" s="157"/>
      <c r="AB38" s="157"/>
      <c r="AC38" s="157"/>
      <c r="AD38" s="157"/>
      <c r="AE38" s="157"/>
      <c r="AF38" s="157"/>
      <c r="AG38" s="157"/>
      <c r="AH38" s="157"/>
      <c r="AI38" s="157"/>
      <c r="AJ38" s="157"/>
      <c r="AK38" s="157"/>
      <c r="AL38" s="157"/>
      <c r="AM38" s="157" t="s">
        <v>303</v>
      </c>
      <c r="AS38" s="50">
        <v>14</v>
      </c>
    </row>
    <row r="39" ht="14.65" customHeight="1">
      <c r="Q39" s="553"/>
      <c r="R39" s="553"/>
      <c r="S39" s="498" t="s">
        <v>88</v>
      </c>
      <c r="T39" s="362" t="s">
        <v>428</v>
      </c>
      <c r="U39" s="563"/>
      <c r="V39" s="564" t="s">
        <v>429</v>
      </c>
      <c r="W39" s="565"/>
      <c r="X39" s="565"/>
      <c r="Y39" s="565"/>
      <c r="Z39" s="565"/>
      <c r="AA39" s="565"/>
      <c r="AB39" s="566"/>
      <c r="AC39" s="567" t="s">
        <v>430</v>
      </c>
      <c r="AD39" s="564" t="s">
        <v>429</v>
      </c>
      <c r="AE39" s="565"/>
      <c r="AF39" s="565"/>
      <c r="AG39" s="565"/>
      <c r="AH39" s="565"/>
      <c r="AI39" s="565"/>
      <c r="AJ39" s="566"/>
      <c r="AK39" s="567" t="s">
        <v>431</v>
      </c>
      <c r="AL39" s="568" t="s">
        <v>432</v>
      </c>
      <c r="AM39" s="157"/>
      <c r="AS39" s="50">
        <v>14</v>
      </c>
    </row>
    <row r="40" ht="35.649999999999999" customHeight="1">
      <c r="Q40" s="553"/>
      <c r="R40" s="553"/>
      <c r="S40" s="498"/>
      <c r="T40" s="362"/>
      <c r="U40" s="569"/>
      <c r="V40" s="324" t="s">
        <v>433</v>
      </c>
      <c r="W40" s="570" t="s">
        <v>434</v>
      </c>
      <c r="X40" s="73" t="s">
        <v>435</v>
      </c>
      <c r="Y40" s="72"/>
      <c r="Z40" s="73" t="s">
        <v>448</v>
      </c>
      <c r="AA40" s="145"/>
      <c r="AB40" s="72"/>
      <c r="AC40" s="571"/>
      <c r="AD40" s="324" t="s">
        <v>433</v>
      </c>
      <c r="AE40" s="570" t="s">
        <v>434</v>
      </c>
      <c r="AF40" s="73" t="s">
        <v>435</v>
      </c>
      <c r="AG40" s="72"/>
      <c r="AH40" s="73" t="s">
        <v>436</v>
      </c>
      <c r="AI40" s="145"/>
      <c r="AJ40" s="72"/>
      <c r="AK40" s="571"/>
      <c r="AL40" s="572"/>
      <c r="AM40" s="157"/>
      <c r="AS40" s="50">
        <v>34</v>
      </c>
    </row>
    <row r="41" ht="35.649999999999999" customHeight="1">
      <c r="A41" s="106"/>
      <c r="B41" s="106" t="s">
        <v>135</v>
      </c>
      <c r="C41" s="106" t="s">
        <v>136</v>
      </c>
      <c r="D41" s="106" t="s">
        <v>137</v>
      </c>
      <c r="E41" s="337" t="s">
        <v>437</v>
      </c>
      <c r="F41" s="337" t="s">
        <v>438</v>
      </c>
      <c r="G41" s="337" t="s">
        <v>439</v>
      </c>
      <c r="H41" s="337" t="s">
        <v>440</v>
      </c>
      <c r="I41" s="337" t="s">
        <v>441</v>
      </c>
      <c r="J41" s="337" t="s">
        <v>442</v>
      </c>
      <c r="K41" s="337" t="s">
        <v>443</v>
      </c>
      <c r="L41" s="337" t="s">
        <v>418</v>
      </c>
      <c r="Q41" s="553"/>
      <c r="R41" s="553"/>
      <c r="S41" s="498"/>
      <c r="T41" s="362"/>
      <c r="U41" s="573"/>
      <c r="V41" s="162"/>
      <c r="W41" s="574"/>
      <c r="X41" s="246" t="s">
        <v>444</v>
      </c>
      <c r="Y41" s="246" t="s">
        <v>445</v>
      </c>
      <c r="Z41" s="246" t="s">
        <v>446</v>
      </c>
      <c r="AA41" s="429" t="s">
        <v>447</v>
      </c>
      <c r="AB41" s="431"/>
      <c r="AC41" s="575"/>
      <c r="AD41" s="162"/>
      <c r="AE41" s="574"/>
      <c r="AF41" s="246" t="s">
        <v>444</v>
      </c>
      <c r="AG41" s="246" t="s">
        <v>445</v>
      </c>
      <c r="AH41" s="246" t="s">
        <v>446</v>
      </c>
      <c r="AI41" s="429" t="s">
        <v>447</v>
      </c>
      <c r="AJ41" s="431"/>
      <c r="AK41" s="575"/>
      <c r="AL41" s="576"/>
      <c r="AM41" s="157"/>
      <c r="AS41" s="50">
        <v>34</v>
      </c>
    </row>
    <row r="42" s="131" customFormat="1" ht="11.25" hidden="1" customHeight="1">
      <c r="A42" s="106"/>
      <c r="B42" s="106"/>
      <c r="C42" s="106"/>
      <c r="D42" s="106"/>
      <c r="E42" s="106"/>
      <c r="F42" s="106"/>
      <c r="G42" s="106"/>
      <c r="H42" s="106"/>
      <c r="I42" s="106"/>
      <c r="J42" s="106"/>
      <c r="K42" s="106"/>
      <c r="L42" s="337"/>
      <c r="M42" s="60"/>
      <c r="N42" s="60"/>
      <c r="O42" s="60"/>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264" t="s">
        <v>209</v>
      </c>
      <c r="B43" s="264"/>
      <c r="C43" s="264"/>
      <c r="D43" s="264"/>
      <c r="E43" s="589">
        <v>1</v>
      </c>
      <c r="F43" s="264"/>
      <c r="G43" s="264"/>
      <c r="H43" s="264"/>
      <c r="I43" s="264"/>
      <c r="J43" s="264"/>
      <c r="K43" s="264"/>
      <c r="L43" s="337"/>
      <c r="M43" s="86"/>
      <c r="N43" s="86"/>
      <c r="O43" s="8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7"/>
        <v xml:space="preserve">Наименование тарифа</v>
      </c>
      <c r="AQ43" s="129"/>
      <c r="AR43" s="129"/>
      <c r="AS43" s="50">
        <v>21</v>
      </c>
    </row>
    <row r="44" ht="22" customHeight="1">
      <c r="A44" s="264" t="s">
        <v>209</v>
      </c>
      <c r="B44" s="264" t="s">
        <v>210</v>
      </c>
      <c r="C44" s="264"/>
      <c r="D44" s="264"/>
      <c r="E44" s="590"/>
      <c r="F44" s="589">
        <v>1</v>
      </c>
      <c r="G44" s="264"/>
      <c r="H44" s="264"/>
      <c r="I44" s="264"/>
      <c r="J44" s="264"/>
      <c r="K44" s="264"/>
      <c r="L44" s="337"/>
      <c r="M44" s="86"/>
      <c r="N44" s="86"/>
      <c r="O44" s="86"/>
      <c r="P44" s="51"/>
      <c r="Q44" s="506"/>
      <c r="R44" s="507"/>
      <c r="S44" s="498" t="str">
        <f>INDEX(PT_DIFFERENTIATION_NUM_TER,MATCH(B44,PT_DIFFERENTIATION_TER_ID,0))</f>
        <v>.</v>
      </c>
      <c r="T44" s="508" t="s">
        <v>399</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400</v>
      </c>
      <c r="AO44" s="129"/>
      <c r="AP44" s="129" t="str">
        <f t="shared" si="7"/>
        <v xml:space="preserve">Территория действия тарифа</v>
      </c>
      <c r="AQ44" s="129"/>
      <c r="AR44" s="129"/>
      <c r="AS44" s="50">
        <v>21</v>
      </c>
    </row>
    <row r="45" ht="24" customHeight="1">
      <c r="A45" s="264" t="s">
        <v>209</v>
      </c>
      <c r="B45" s="264" t="s">
        <v>210</v>
      </c>
      <c r="C45" s="264" t="s">
        <v>211</v>
      </c>
      <c r="D45" s="264"/>
      <c r="E45" s="590"/>
      <c r="F45" s="590"/>
      <c r="G45" s="589">
        <v>1</v>
      </c>
      <c r="H45" s="264"/>
      <c r="I45" s="264"/>
      <c r="J45" s="264"/>
      <c r="K45" s="264"/>
      <c r="L45" s="337"/>
      <c r="M45" s="86"/>
      <c r="N45" s="86"/>
      <c r="O45" s="86"/>
      <c r="P45" s="509"/>
      <c r="Q45" s="506"/>
      <c r="R45" s="507"/>
      <c r="S45" s="498" t="str">
        <f>INDEX(PT_DIFFERENTIATION_NUM_CS,MATCH(C45,PT_DIFFERENTIATION_CS_ID,0))</f>
        <v>..</v>
      </c>
      <c r="T45" s="510" t="s">
        <v>401</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402</v>
      </c>
      <c r="AO45" s="129"/>
      <c r="AP45" s="129" t="str">
        <f t="shared" si="7"/>
        <v xml:space="preserve">Наименование системы теплоснабжения</v>
      </c>
      <c r="AQ45" s="129"/>
      <c r="AR45" s="129"/>
      <c r="AS45" s="50">
        <v>23</v>
      </c>
    </row>
    <row r="46" ht="22" customHeight="1">
      <c r="A46" s="264" t="s">
        <v>209</v>
      </c>
      <c r="B46" s="264" t="s">
        <v>210</v>
      </c>
      <c r="C46" s="264" t="s">
        <v>211</v>
      </c>
      <c r="D46" s="264" t="s">
        <v>212</v>
      </c>
      <c r="E46" s="590"/>
      <c r="F46" s="590"/>
      <c r="G46" s="590"/>
      <c r="H46" s="589">
        <v>1</v>
      </c>
      <c r="I46" s="264"/>
      <c r="J46" s="264"/>
      <c r="K46" s="264"/>
      <c r="L46" s="337"/>
      <c r="M46" s="86"/>
      <c r="N46" s="86"/>
      <c r="O46" s="86"/>
      <c r="P46" s="509"/>
      <c r="Q46" s="506"/>
      <c r="R46" s="507"/>
      <c r="S46" s="498" t="str">
        <f>INDEX(PT_DIFFERENTIATION_NUM_IST_TE,MATCH(D46,PT_DIFFERENTIATION_IST_TE_ID,0))</f>
        <v>...</v>
      </c>
      <c r="T46" s="511" t="s">
        <v>403</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404</v>
      </c>
      <c r="AO46" s="129"/>
      <c r="AP46" s="129" t="str">
        <f t="shared" si="7"/>
        <v xml:space="preserve">Источник тепловой энергии</v>
      </c>
      <c r="AQ46" s="129"/>
      <c r="AR46" s="129"/>
      <c r="AS46" s="50">
        <v>21</v>
      </c>
    </row>
    <row r="47" ht="49.5" customHeight="1">
      <c r="A47" s="264" t="s">
        <v>209</v>
      </c>
      <c r="B47" s="264" t="s">
        <v>210</v>
      </c>
      <c r="C47" s="264" t="s">
        <v>211</v>
      </c>
      <c r="D47" s="264" t="s">
        <v>212</v>
      </c>
      <c r="E47" s="590"/>
      <c r="F47" s="590"/>
      <c r="G47" s="590"/>
      <c r="H47" s="590"/>
      <c r="I47" s="157" t="str">
        <f>S46&amp;".1"</f>
        <v>....1</v>
      </c>
      <c r="J47" s="264"/>
      <c r="K47" s="264"/>
      <c r="L47" s="337" t="s">
        <v>405</v>
      </c>
      <c r="P47" s="132">
        <v>1</v>
      </c>
      <c r="Q47" s="132"/>
      <c r="R47" s="513"/>
      <c r="S47" s="498" t="str">
        <f>$I47</f>
        <v>....1</v>
      </c>
      <c r="T47" s="514" t="s">
        <v>406</v>
      </c>
      <c r="U47" s="500"/>
      <c r="V47" s="445"/>
      <c r="W47" s="515"/>
      <c r="X47" s="515"/>
      <c r="Y47" s="515"/>
      <c r="Z47" s="515"/>
      <c r="AA47" s="515"/>
      <c r="AB47" s="515"/>
      <c r="AC47" s="516"/>
      <c r="AD47" s="445"/>
      <c r="AE47" s="515"/>
      <c r="AF47" s="515"/>
      <c r="AG47" s="515"/>
      <c r="AH47" s="515"/>
      <c r="AI47" s="515"/>
      <c r="AJ47" s="515"/>
      <c r="AK47" s="515"/>
      <c r="AL47" s="516"/>
      <c r="AM47" s="504" t="s">
        <v>407</v>
      </c>
      <c r="AO47" s="129"/>
      <c r="AP47" s="129" t="str">
        <f t="shared" si="7"/>
        <v xml:space="preserve">Схема подключения теплопотребляющей установки к коллектору источника тепловой энергии</v>
      </c>
      <c r="AQ47" s="129"/>
      <c r="AR47" s="129"/>
      <c r="AS47" s="50">
        <v>47</v>
      </c>
    </row>
    <row r="48" ht="22" customHeight="1">
      <c r="A48" s="264" t="s">
        <v>209</v>
      </c>
      <c r="B48" s="264" t="s">
        <v>210</v>
      </c>
      <c r="C48" s="264" t="s">
        <v>211</v>
      </c>
      <c r="D48" s="264" t="s">
        <v>212</v>
      </c>
      <c r="E48" s="590"/>
      <c r="F48" s="590"/>
      <c r="G48" s="590"/>
      <c r="H48" s="590"/>
      <c r="I48" s="73"/>
      <c r="J48" s="157" t="str">
        <f>I47&amp;".1"</f>
        <v>....1.1</v>
      </c>
      <c r="K48" s="264"/>
      <c r="L48" s="337" t="s">
        <v>408</v>
      </c>
      <c r="P48" s="132"/>
      <c r="Q48" s="132">
        <v>1</v>
      </c>
      <c r="R48" s="518"/>
      <c r="S48" s="498" t="str">
        <f>$J48</f>
        <v>....1.1</v>
      </c>
      <c r="T48" s="519" t="s">
        <v>409</v>
      </c>
      <c r="U48" s="500"/>
      <c r="V48" s="445"/>
      <c r="W48" s="515"/>
      <c r="X48" s="515"/>
      <c r="Y48" s="515"/>
      <c r="Z48" s="515"/>
      <c r="AA48" s="515"/>
      <c r="AB48" s="515"/>
      <c r="AC48" s="516"/>
      <c r="AD48" s="445"/>
      <c r="AE48" s="515"/>
      <c r="AF48" s="515"/>
      <c r="AG48" s="515"/>
      <c r="AH48" s="515"/>
      <c r="AI48" s="515"/>
      <c r="AJ48" s="515"/>
      <c r="AK48" s="515"/>
      <c r="AL48" s="516"/>
      <c r="AM48" s="504" t="s">
        <v>410</v>
      </c>
      <c r="AO48" s="129"/>
      <c r="AP48" s="129" t="str">
        <f t="shared" si="7"/>
        <v xml:space="preserve">Группа потребителей</v>
      </c>
      <c r="AQ48" s="129"/>
      <c r="AR48" s="129"/>
      <c r="AS48" s="50">
        <v>21</v>
      </c>
    </row>
    <row r="49" ht="22" customHeight="1">
      <c r="A49" s="264" t="s">
        <v>209</v>
      </c>
      <c r="B49" s="264" t="s">
        <v>210</v>
      </c>
      <c r="C49" s="264" t="s">
        <v>211</v>
      </c>
      <c r="D49" s="264" t="s">
        <v>212</v>
      </c>
      <c r="E49" s="590"/>
      <c r="F49" s="590"/>
      <c r="G49" s="590"/>
      <c r="H49" s="590"/>
      <c r="I49" s="73"/>
      <c r="J49" s="73"/>
      <c r="K49" s="157" t="str">
        <f>J48&amp;".1"</f>
        <v>....1.1.1</v>
      </c>
      <c r="L49" s="337" t="s">
        <v>411</v>
      </c>
      <c r="P49" s="132"/>
      <c r="Q49" s="132"/>
      <c r="R49" s="518">
        <v>1</v>
      </c>
      <c r="S49" s="498" t="str">
        <f>$K49</f>
        <v>....1.1.1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412</v>
      </c>
      <c r="AN49" s="57" t="e">
        <f>STRCHECKDATE(V50:AL50)</f>
        <v>#NAME?</v>
      </c>
      <c r="AO49" s="129"/>
      <c r="AP49" s="129" t="str">
        <f t="shared" si="7"/>
        <v/>
      </c>
      <c r="AQ49" s="129"/>
      <c r="AR49" s="129"/>
      <c r="AS49" s="50">
        <v>21</v>
      </c>
    </row>
    <row r="50" ht="1.05" customHeight="1">
      <c r="A50" s="264" t="s">
        <v>209</v>
      </c>
      <c r="B50" s="264" t="s">
        <v>210</v>
      </c>
      <c r="C50" s="264" t="s">
        <v>211</v>
      </c>
      <c r="D50" s="264" t="s">
        <v>212</v>
      </c>
      <c r="E50" s="590"/>
      <c r="F50" s="590"/>
      <c r="G50" s="590"/>
      <c r="H50" s="590"/>
      <c r="I50" s="73"/>
      <c r="J50" s="73"/>
      <c r="K50" s="157"/>
      <c r="L50" s="337"/>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7"/>
        <v/>
      </c>
      <c r="AQ50" s="129"/>
      <c r="AR50" s="129"/>
      <c r="AS50" s="50">
        <v>1</v>
      </c>
    </row>
    <row r="51" ht="11.5" customHeight="1">
      <c r="A51" s="264" t="s">
        <v>209</v>
      </c>
      <c r="B51" s="264" t="s">
        <v>210</v>
      </c>
      <c r="C51" s="264" t="s">
        <v>211</v>
      </c>
      <c r="D51" s="264" t="s">
        <v>212</v>
      </c>
      <c r="E51" s="590"/>
      <c r="F51" s="590"/>
      <c r="G51" s="590"/>
      <c r="H51" s="590"/>
      <c r="I51" s="73"/>
      <c r="J51" s="157"/>
      <c r="K51" s="264"/>
      <c r="L51" s="337"/>
      <c r="P51" s="132"/>
      <c r="Q51" s="132"/>
      <c r="R51" s="513"/>
      <c r="S51" s="529"/>
      <c r="T51" s="530" t="s">
        <v>413</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7"/>
        <v xml:space="preserve">Добавить вид теплоносителя (параметры теплоносителя)</v>
      </c>
      <c r="AQ51" s="129"/>
      <c r="AR51" s="129"/>
      <c r="AS51" s="50">
        <v>11</v>
      </c>
    </row>
    <row r="52" ht="11.5" customHeight="1">
      <c r="A52" s="264" t="s">
        <v>209</v>
      </c>
      <c r="B52" s="264" t="s">
        <v>210</v>
      </c>
      <c r="C52" s="264" t="s">
        <v>211</v>
      </c>
      <c r="D52" s="264" t="s">
        <v>212</v>
      </c>
      <c r="E52" s="590"/>
      <c r="F52" s="590"/>
      <c r="G52" s="590"/>
      <c r="H52" s="590"/>
      <c r="I52" s="157"/>
      <c r="J52" s="264"/>
      <c r="K52" s="264"/>
      <c r="L52" s="337"/>
      <c r="P52" s="132"/>
      <c r="Q52" s="132"/>
      <c r="R52" s="513"/>
      <c r="S52" s="529"/>
      <c r="T52" s="533" t="s">
        <v>414</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7"/>
        <v xml:space="preserve">Добавить группу потребителей</v>
      </c>
      <c r="AQ52" s="129"/>
      <c r="AR52" s="129"/>
      <c r="AS52" s="50">
        <v>11</v>
      </c>
    </row>
    <row r="53" ht="14.65" customHeight="1">
      <c r="A53" s="264" t="s">
        <v>209</v>
      </c>
      <c r="B53" s="264" t="s">
        <v>210</v>
      </c>
      <c r="C53" s="264" t="s">
        <v>211</v>
      </c>
      <c r="D53" s="264" t="s">
        <v>212</v>
      </c>
      <c r="E53" s="590"/>
      <c r="F53" s="590"/>
      <c r="G53" s="590"/>
      <c r="H53" s="589"/>
      <c r="I53" s="264"/>
      <c r="J53" s="264"/>
      <c r="K53" s="264"/>
      <c r="L53" s="337"/>
      <c r="M53" s="86"/>
      <c r="N53" s="86"/>
      <c r="O53" s="50"/>
      <c r="P53" s="143"/>
      <c r="Q53" s="536"/>
      <c r="R53" s="497"/>
      <c r="S53" s="529"/>
      <c r="T53" s="537" t="s">
        <v>415</v>
      </c>
      <c r="U53" s="214"/>
      <c r="V53" s="214"/>
      <c r="W53" s="214"/>
      <c r="X53" s="214"/>
      <c r="Y53" s="214"/>
      <c r="Z53" s="214"/>
      <c r="AA53" s="214"/>
      <c r="AB53" s="214"/>
      <c r="AC53" s="534"/>
      <c r="AD53" s="214"/>
      <c r="AE53" s="214"/>
      <c r="AF53" s="214"/>
      <c r="AG53" s="214"/>
      <c r="AH53" s="214"/>
      <c r="AI53" s="214"/>
      <c r="AJ53" s="214"/>
      <c r="AK53" s="534"/>
      <c r="AL53" s="214"/>
      <c r="AM53" s="535"/>
      <c r="AO53" s="129"/>
      <c r="AP53" s="129" t="str">
        <f t="shared" si="7"/>
        <v xml:space="preserve">Добавить схему подключения</v>
      </c>
      <c r="AQ53" s="129"/>
      <c r="AR53" s="129"/>
      <c r="AS53" s="50">
        <v>14</v>
      </c>
    </row>
    <row r="54" s="57" customFormat="1" ht="4.2000000000000002" customHeight="1">
      <c r="A54" s="591" t="s">
        <v>209</v>
      </c>
      <c r="B54" s="591" t="s">
        <v>210</v>
      </c>
      <c r="C54" s="591" t="s">
        <v>211</v>
      </c>
      <c r="D54" s="591"/>
      <c r="E54" s="590"/>
      <c r="F54" s="590"/>
      <c r="G54" s="589"/>
      <c r="H54" s="591"/>
      <c r="I54" s="591"/>
      <c r="J54" s="591"/>
      <c r="K54" s="591"/>
      <c r="L54" s="592"/>
      <c r="M54" s="593"/>
      <c r="N54" s="593"/>
      <c r="O54" s="131"/>
      <c r="P54" s="167"/>
      <c r="Q54" s="538"/>
      <c r="R54" s="167"/>
      <c r="S54" s="543"/>
      <c r="T54" s="546" t="s">
        <v>416</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7"/>
        <v xml:space="preserve">Добавить источник для дифференциации</v>
      </c>
      <c r="AQ54" s="129"/>
      <c r="AR54" s="129"/>
      <c r="AS54" s="57">
        <v>4</v>
      </c>
    </row>
    <row r="55" s="57" customFormat="1" ht="4.2000000000000002" customHeight="1">
      <c r="A55" s="591" t="s">
        <v>209</v>
      </c>
      <c r="B55" s="591" t="s">
        <v>210</v>
      </c>
      <c r="C55" s="591"/>
      <c r="D55" s="591"/>
      <c r="E55" s="590"/>
      <c r="F55" s="589"/>
      <c r="G55" s="591"/>
      <c r="H55" s="591"/>
      <c r="I55" s="591"/>
      <c r="J55" s="591"/>
      <c r="K55" s="591"/>
      <c r="L55" s="592"/>
      <c r="M55" s="594"/>
      <c r="N55" s="594"/>
      <c r="O55" s="131"/>
      <c r="P55" s="167"/>
      <c r="Q55" s="538"/>
      <c r="R55" s="167"/>
      <c r="S55" s="543"/>
      <c r="T55" s="546" t="s">
        <v>238</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7"/>
        <v xml:space="preserve">Добавить централизованную систему для дифференциации</v>
      </c>
      <c r="AQ55" s="129"/>
      <c r="AR55" s="129"/>
      <c r="AS55" s="57">
        <v>4</v>
      </c>
    </row>
    <row r="56" s="57" customFormat="1" ht="4.2000000000000002" customHeight="1">
      <c r="A56" s="591" t="s">
        <v>209</v>
      </c>
      <c r="B56" s="591"/>
      <c r="C56" s="591"/>
      <c r="D56" s="591"/>
      <c r="E56" s="589"/>
      <c r="F56" s="591"/>
      <c r="G56" s="591"/>
      <c r="H56" s="591"/>
      <c r="I56" s="591"/>
      <c r="J56" s="591"/>
      <c r="K56" s="591"/>
      <c r="L56" s="592"/>
      <c r="M56" s="594"/>
      <c r="N56" s="594"/>
      <c r="O56" s="131"/>
      <c r="P56" s="167"/>
      <c r="Q56" s="538"/>
      <c r="R56" s="167"/>
      <c r="S56" s="543"/>
      <c r="T56" s="546" t="s">
        <v>239</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7"/>
        <v xml:space="preserve">Добавить территорию для дифференциации</v>
      </c>
      <c r="AQ56" s="129"/>
      <c r="AR56" s="129"/>
      <c r="AS56" s="57">
        <v>4</v>
      </c>
    </row>
    <row r="57" s="57" customFormat="1" ht="4.2000000000000002" customHeight="1">
      <c r="A57" s="591"/>
      <c r="B57" s="591"/>
      <c r="C57" s="591"/>
      <c r="D57" s="591"/>
      <c r="E57" s="591"/>
      <c r="F57" s="591"/>
      <c r="G57" s="591"/>
      <c r="H57" s="591"/>
      <c r="I57" s="591"/>
      <c r="J57" s="591"/>
      <c r="K57" s="591"/>
      <c r="L57" s="592"/>
      <c r="M57" s="594"/>
      <c r="N57" s="594"/>
      <c r="O57" s="131"/>
      <c r="P57" s="167"/>
      <c r="Q57" s="538"/>
      <c r="R57" s="167"/>
      <c r="S57" s="543"/>
      <c r="T57" s="546" t="s">
        <v>240</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7"/>
        <v xml:space="preserve">Добавить наименование тарифа</v>
      </c>
      <c r="AQ57" s="129"/>
      <c r="AR57" s="129"/>
      <c r="AS57" s="57">
        <v>4</v>
      </c>
    </row>
    <row r="58" ht="11.5" customHeight="1">
      <c r="M58" s="50"/>
      <c r="N58" s="50"/>
      <c r="O58" s="50"/>
      <c r="P58" s="50"/>
      <c r="Q58" s="50"/>
      <c r="R58" s="50"/>
      <c r="S58" s="50"/>
      <c r="AN58" s="50"/>
      <c r="AO58" s="50"/>
      <c r="AP58" s="50"/>
      <c r="AQ58" s="50"/>
      <c r="AR58" s="50"/>
      <c r="AS58" s="50">
        <v>11</v>
      </c>
    </row>
    <row r="59" ht="28.5" customHeight="1">
      <c r="O59" s="50"/>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27</v>
      </c>
    </row>
    <row r="60" ht="65.25" customHeight="1">
      <c r="O60" s="50"/>
      <c r="T60" s="588"/>
      <c r="U60" s="588"/>
      <c r="V60" s="588"/>
      <c r="W60" s="588"/>
      <c r="X60" s="588"/>
      <c r="Y60" s="588"/>
      <c r="Z60" s="588"/>
      <c r="AA60" s="588"/>
      <c r="AB60" s="588"/>
      <c r="AC60" s="588"/>
      <c r="AD60" s="588"/>
      <c r="AE60" s="588"/>
      <c r="AF60" s="588"/>
      <c r="AG60" s="588"/>
      <c r="AH60" s="588"/>
      <c r="AI60" s="588"/>
      <c r="AJ60" s="588"/>
      <c r="AK60" s="588"/>
      <c r="AL60" s="588"/>
      <c r="AM60" s="588"/>
      <c r="AS60" s="50">
        <v>62</v>
      </c>
    </row>
    <row r="61" ht="14.65" customHeight="1">
      <c r="O61" s="50"/>
      <c r="AS61" s="50">
        <v>14</v>
      </c>
    </row>
    <row r="62" ht="18.75" customHeight="1">
      <c r="O62" s="50"/>
      <c r="S62" s="490"/>
      <c r="T62" s="588"/>
      <c r="U62" s="588"/>
      <c r="V62" s="588"/>
      <c r="W62" s="588"/>
      <c r="X62" s="588"/>
      <c r="Y62" s="588"/>
      <c r="Z62" s="588"/>
      <c r="AA62" s="588"/>
      <c r="AB62" s="588"/>
      <c r="AC62" s="588"/>
      <c r="AD62" s="588"/>
      <c r="AE62" s="588"/>
      <c r="AF62" s="588"/>
      <c r="AG62" s="588"/>
      <c r="AH62" s="588"/>
      <c r="AI62" s="588"/>
      <c r="AJ62" s="588"/>
      <c r="AK62" s="588"/>
      <c r="AL62" s="588"/>
      <c r="AM62" s="588"/>
      <c r="AS62" s="50">
        <v>18</v>
      </c>
    </row>
    <row r="63" ht="18.75" customHeight="1">
      <c r="O63" s="50"/>
      <c r="T63" s="588"/>
      <c r="U63" s="588"/>
      <c r="V63" s="588"/>
      <c r="W63" s="588"/>
      <c r="X63" s="588"/>
      <c r="Y63" s="588"/>
      <c r="Z63" s="588"/>
      <c r="AA63" s="588"/>
      <c r="AB63" s="588"/>
      <c r="AC63" s="588"/>
      <c r="AD63" s="588"/>
      <c r="AE63" s="588"/>
      <c r="AF63" s="588"/>
      <c r="AG63" s="588"/>
      <c r="AH63" s="588"/>
      <c r="AI63" s="588"/>
      <c r="AJ63" s="588"/>
      <c r="AK63" s="588"/>
      <c r="AL63" s="588"/>
      <c r="AM63" s="588"/>
      <c r="AS63" s="50">
        <v>18</v>
      </c>
    </row>
    <row r="64" ht="29.25" customHeight="1">
      <c r="O64" s="50"/>
      <c r="S64" s="490"/>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92">
        <v>3</v>
      </c>
      <c r="R65" s="492">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700D3-00AE-4D8D-A5AD-003700390083}"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AC00A6-0034-41EE-AC29-00960041001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400A9-0021-4334-A42D-00D900BA004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66009C-0069-45E3-9047-00EC009C008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89">
        <v>1</v>
      </c>
      <c r="F2" s="264"/>
      <c r="G2" s="264"/>
      <c r="H2" s="264"/>
      <c r="I2" s="264"/>
      <c r="J2" s="264"/>
      <c r="K2" s="264"/>
      <c r="L2" s="337"/>
      <c r="M2" s="86"/>
      <c r="N2" s="86"/>
      <c r="O2" s="8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398</v>
      </c>
      <c r="AO2" s="129"/>
      <c r="AP2" s="129" t="str">
        <f t="shared" ref="AP2:AP9" si="8">IF(T2="","",T2)</f>
        <v xml:space="preserve">Наименование тарифа</v>
      </c>
      <c r="AQ2" s="129"/>
      <c r="AR2" s="129"/>
      <c r="AS2" s="50">
        <v>0</v>
      </c>
    </row>
    <row r="3" ht="21" hidden="1" customHeight="1">
      <c r="A3" s="264"/>
      <c r="B3" s="264"/>
      <c r="C3" s="264"/>
      <c r="D3" s="264"/>
      <c r="E3" s="590"/>
      <c r="F3" s="589">
        <v>1</v>
      </c>
      <c r="G3" s="264"/>
      <c r="H3" s="264"/>
      <c r="I3" s="264"/>
      <c r="J3" s="264"/>
      <c r="K3" s="264"/>
      <c r="L3" s="337"/>
      <c r="M3" s="86"/>
      <c r="N3" s="86"/>
      <c r="O3" s="86"/>
      <c r="P3" s="51"/>
      <c r="Q3" s="506"/>
      <c r="R3" s="507"/>
      <c r="S3" s="498" t="e">
        <f>INDEX(PT_DIFFERENTIATION_NUM_TER,MATCH(B3,PT_DIFFERENTIATION_TER_ID,0))</f>
        <v>#VALUE!</v>
      </c>
      <c r="T3" s="508" t="s">
        <v>399</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400</v>
      </c>
      <c r="AO3" s="129"/>
      <c r="AP3" s="129" t="str">
        <f t="shared" si="8"/>
        <v xml:space="preserve">Территория действия тарифа</v>
      </c>
      <c r="AQ3" s="129"/>
      <c r="AR3" s="129"/>
      <c r="AS3" s="50">
        <v>0</v>
      </c>
    </row>
    <row r="4" ht="23.25" hidden="1" customHeight="1">
      <c r="A4" s="264"/>
      <c r="B4" s="264"/>
      <c r="C4" s="264"/>
      <c r="D4" s="264"/>
      <c r="E4" s="590"/>
      <c r="F4" s="590"/>
      <c r="G4" s="589">
        <v>1</v>
      </c>
      <c r="H4" s="264"/>
      <c r="I4" s="264"/>
      <c r="J4" s="264"/>
      <c r="K4" s="264"/>
      <c r="L4" s="337"/>
      <c r="M4" s="86"/>
      <c r="N4" s="86"/>
      <c r="O4" s="86"/>
      <c r="P4" s="509"/>
      <c r="Q4" s="506"/>
      <c r="R4" s="507"/>
      <c r="S4" s="498" t="e">
        <f>INDEX(PT_DIFFERENTIATION_NUM_CS,MATCH(C4,PT_DIFFERENTIATION_CS_ID,0))</f>
        <v>#VALUE!</v>
      </c>
      <c r="T4" s="510" t="s">
        <v>401</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402</v>
      </c>
      <c r="AO4" s="129"/>
      <c r="AP4" s="129" t="str">
        <f t="shared" si="8"/>
        <v xml:space="preserve">Наименование системы теплоснабжения</v>
      </c>
      <c r="AQ4" s="129"/>
      <c r="AR4" s="129"/>
      <c r="AS4" s="50">
        <v>0</v>
      </c>
    </row>
    <row r="5" ht="21" hidden="1" customHeight="1">
      <c r="A5" s="264"/>
      <c r="B5" s="264"/>
      <c r="C5" s="264"/>
      <c r="D5" s="264"/>
      <c r="E5" s="590"/>
      <c r="F5" s="590"/>
      <c r="G5" s="590"/>
      <c r="H5" s="589">
        <v>1</v>
      </c>
      <c r="I5" s="264"/>
      <c r="J5" s="264"/>
      <c r="K5" s="264"/>
      <c r="L5" s="337"/>
      <c r="M5" s="86"/>
      <c r="N5" s="86"/>
      <c r="O5" s="86"/>
      <c r="P5" s="509"/>
      <c r="Q5" s="506"/>
      <c r="R5" s="507"/>
      <c r="S5" s="498" t="e">
        <f>INDEX(PT_DIFFERENTIATION_NUM_IST_TE,MATCH(D5,PT_DIFFERENTIATION_IST_TE_ID,0))</f>
        <v>#VALUE!</v>
      </c>
      <c r="T5" s="511" t="s">
        <v>403</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404</v>
      </c>
      <c r="AO5" s="129"/>
      <c r="AP5" s="129" t="str">
        <f t="shared" si="8"/>
        <v xml:space="preserve">Источник тепловой энергии</v>
      </c>
      <c r="AQ5" s="129"/>
      <c r="AR5" s="129"/>
      <c r="AS5" s="50">
        <v>0</v>
      </c>
    </row>
    <row r="6" ht="47.25" hidden="1" customHeight="1">
      <c r="A6" s="264"/>
      <c r="B6" s="264"/>
      <c r="C6" s="264"/>
      <c r="D6" s="264"/>
      <c r="E6" s="590"/>
      <c r="F6" s="590"/>
      <c r="G6" s="590"/>
      <c r="H6" s="590"/>
      <c r="I6" s="157" t="e">
        <f>S5&amp;".1"</f>
        <v>#VALUE!</v>
      </c>
      <c r="J6" s="264"/>
      <c r="K6" s="264"/>
      <c r="L6" s="337" t="s">
        <v>405</v>
      </c>
      <c r="M6" s="50"/>
      <c r="P6" s="132">
        <v>1</v>
      </c>
      <c r="Q6" s="132"/>
      <c r="R6" s="513"/>
      <c r="S6" s="498" t="e">
        <f>$I6</f>
        <v>#VALUE!</v>
      </c>
      <c r="T6" s="514" t="s">
        <v>406</v>
      </c>
      <c r="U6" s="500"/>
      <c r="V6" s="445"/>
      <c r="W6" s="515"/>
      <c r="X6" s="515"/>
      <c r="Y6" s="515"/>
      <c r="Z6" s="515"/>
      <c r="AA6" s="515"/>
      <c r="AB6" s="515"/>
      <c r="AC6" s="516"/>
      <c r="AD6" s="445"/>
      <c r="AE6" s="515"/>
      <c r="AF6" s="515"/>
      <c r="AG6" s="515"/>
      <c r="AH6" s="515"/>
      <c r="AI6" s="515"/>
      <c r="AJ6" s="515"/>
      <c r="AK6" s="515"/>
      <c r="AL6" s="516"/>
      <c r="AM6" s="504" t="s">
        <v>407</v>
      </c>
      <c r="AO6" s="129"/>
      <c r="AP6" s="129" t="str">
        <f t="shared" si="8"/>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90"/>
      <c r="F7" s="590"/>
      <c r="G7" s="590"/>
      <c r="H7" s="590"/>
      <c r="I7" s="73"/>
      <c r="J7" s="157" t="e">
        <f>I6&amp;".1"</f>
        <v>#VALUE!</v>
      </c>
      <c r="K7" s="264"/>
      <c r="L7" s="337" t="s">
        <v>408</v>
      </c>
      <c r="M7" s="50"/>
      <c r="N7" s="50"/>
      <c r="P7" s="132"/>
      <c r="Q7" s="132">
        <v>1</v>
      </c>
      <c r="R7" s="518"/>
      <c r="S7" s="498" t="e">
        <f>$J7</f>
        <v>#VALUE!</v>
      </c>
      <c r="T7" s="519" t="s">
        <v>409</v>
      </c>
      <c r="U7" s="500"/>
      <c r="V7" s="445"/>
      <c r="W7" s="515"/>
      <c r="X7" s="515"/>
      <c r="Y7" s="515"/>
      <c r="Z7" s="515"/>
      <c r="AA7" s="515"/>
      <c r="AB7" s="515"/>
      <c r="AC7" s="516"/>
      <c r="AD7" s="445"/>
      <c r="AE7" s="515"/>
      <c r="AF7" s="515"/>
      <c r="AG7" s="515"/>
      <c r="AH7" s="515"/>
      <c r="AI7" s="515"/>
      <c r="AJ7" s="515"/>
      <c r="AK7" s="515"/>
      <c r="AL7" s="516"/>
      <c r="AM7" s="504" t="s">
        <v>410</v>
      </c>
      <c r="AO7" s="129"/>
      <c r="AP7" s="129" t="str">
        <f t="shared" si="8"/>
        <v xml:space="preserve">Группа потребителей</v>
      </c>
      <c r="AQ7" s="129"/>
      <c r="AR7" s="129"/>
      <c r="AS7" s="50">
        <v>0</v>
      </c>
    </row>
    <row r="8" ht="21" hidden="1" customHeight="1">
      <c r="A8" s="264"/>
      <c r="B8" s="264"/>
      <c r="C8" s="264"/>
      <c r="D8" s="264"/>
      <c r="E8" s="590"/>
      <c r="F8" s="590"/>
      <c r="G8" s="590"/>
      <c r="H8" s="590"/>
      <c r="I8" s="73"/>
      <c r="J8" s="73"/>
      <c r="K8" s="157" t="e">
        <f>J7&amp;".1"</f>
        <v>#VALUE!</v>
      </c>
      <c r="L8" s="337" t="s">
        <v>411</v>
      </c>
      <c r="M8" s="50"/>
      <c r="N8" s="50"/>
      <c r="O8" s="50"/>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412</v>
      </c>
      <c r="AN8" s="57" t="e">
        <f>STRCHECKDATE(V9:AL9)</f>
        <v>#NAME?</v>
      </c>
      <c r="AO8" s="129"/>
      <c r="AP8" s="129" t="str">
        <f t="shared" si="8"/>
        <v/>
      </c>
      <c r="AQ8" s="129"/>
      <c r="AR8" s="129"/>
      <c r="AS8" s="50">
        <v>0</v>
      </c>
    </row>
    <row r="9" ht="0.75" hidden="1" customHeight="1">
      <c r="A9" s="264"/>
      <c r="B9" s="264"/>
      <c r="C9" s="264"/>
      <c r="D9" s="264"/>
      <c r="E9" s="590"/>
      <c r="F9" s="590"/>
      <c r="G9" s="590"/>
      <c r="H9" s="590"/>
      <c r="I9" s="73"/>
      <c r="J9" s="73"/>
      <c r="K9" s="157"/>
      <c r="L9" s="337"/>
      <c r="M9" s="50"/>
      <c r="N9" s="50"/>
      <c r="O9" s="50"/>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8"/>
        <v/>
      </c>
      <c r="AQ9" s="129"/>
      <c r="AR9" s="129"/>
      <c r="AS9" s="50">
        <v>0</v>
      </c>
    </row>
    <row r="10" ht="15" hidden="1" customHeight="1">
      <c r="A10" s="264"/>
      <c r="B10" s="264"/>
      <c r="C10" s="264"/>
      <c r="D10" s="264"/>
      <c r="E10" s="590"/>
      <c r="F10" s="590"/>
      <c r="G10" s="590"/>
      <c r="H10" s="590"/>
      <c r="I10" s="73"/>
      <c r="J10" s="157"/>
      <c r="K10" s="264"/>
      <c r="L10" s="337"/>
      <c r="M10" s="50"/>
      <c r="N10" s="50"/>
      <c r="P10" s="132"/>
      <c r="Q10" s="132"/>
      <c r="R10" s="513"/>
      <c r="S10" s="529"/>
      <c r="T10" s="530" t="s">
        <v>413</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9">IF(T10="","",T10)</f>
        <v xml:space="preserve">Добавить вид теплоносителя (параметры теплоносителя)</v>
      </c>
      <c r="AQ10" s="129"/>
      <c r="AR10" s="129"/>
      <c r="AS10" s="50">
        <v>0</v>
      </c>
    </row>
    <row r="11" ht="15" hidden="1" customHeight="1">
      <c r="A11" s="264"/>
      <c r="B11" s="264"/>
      <c r="C11" s="264"/>
      <c r="D11" s="264"/>
      <c r="E11" s="590"/>
      <c r="F11" s="590"/>
      <c r="G11" s="590"/>
      <c r="H11" s="590"/>
      <c r="I11" s="157"/>
      <c r="J11" s="264"/>
      <c r="K11" s="264"/>
      <c r="L11" s="337"/>
      <c r="M11" s="50"/>
      <c r="P11" s="132"/>
      <c r="Q11" s="132"/>
      <c r="R11" s="513"/>
      <c r="S11" s="529"/>
      <c r="T11" s="533" t="s">
        <v>414</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9"/>
        <v xml:space="preserve">Добавить группу потребителей</v>
      </c>
      <c r="AQ11" s="129"/>
      <c r="AR11" s="129"/>
      <c r="AS11" s="50">
        <v>0</v>
      </c>
    </row>
    <row r="12" ht="14.25" hidden="1" customHeight="1">
      <c r="A12" s="264"/>
      <c r="B12" s="264"/>
      <c r="C12" s="264"/>
      <c r="D12" s="264"/>
      <c r="E12" s="590"/>
      <c r="F12" s="590"/>
      <c r="G12" s="590"/>
      <c r="H12" s="589"/>
      <c r="I12" s="264"/>
      <c r="J12" s="264"/>
      <c r="K12" s="264"/>
      <c r="L12" s="337"/>
      <c r="M12" s="86"/>
      <c r="N12" s="86"/>
      <c r="O12" s="50"/>
      <c r="P12" s="143"/>
      <c r="Q12" s="536"/>
      <c r="R12" s="497"/>
      <c r="S12" s="529"/>
      <c r="T12" s="537" t="s">
        <v>415</v>
      </c>
      <c r="U12" s="214"/>
      <c r="V12" s="214"/>
      <c r="W12" s="214"/>
      <c r="X12" s="214"/>
      <c r="Y12" s="214"/>
      <c r="Z12" s="214"/>
      <c r="AA12" s="214"/>
      <c r="AB12" s="214"/>
      <c r="AC12" s="534"/>
      <c r="AD12" s="214"/>
      <c r="AE12" s="214"/>
      <c r="AF12" s="214"/>
      <c r="AG12" s="214"/>
      <c r="AH12" s="214"/>
      <c r="AI12" s="214"/>
      <c r="AJ12" s="214"/>
      <c r="AK12" s="534"/>
      <c r="AL12" s="214"/>
      <c r="AM12" s="535"/>
      <c r="AO12" s="129"/>
      <c r="AP12" s="129" t="str">
        <f t="shared" si="9"/>
        <v xml:space="preserve">Добавить схему подключения</v>
      </c>
      <c r="AQ12" s="129"/>
      <c r="AR12" s="129"/>
      <c r="AS12" s="50">
        <v>0</v>
      </c>
    </row>
    <row r="13" s="57" customFormat="1" ht="0.75" hidden="1" customHeight="1">
      <c r="A13" s="264"/>
      <c r="B13" s="264"/>
      <c r="C13" s="264"/>
      <c r="D13" s="264"/>
      <c r="E13" s="590"/>
      <c r="F13" s="590"/>
      <c r="G13" s="589"/>
      <c r="H13" s="264"/>
      <c r="I13" s="264"/>
      <c r="J13" s="264"/>
      <c r="K13" s="264"/>
      <c r="L13" s="337"/>
      <c r="M13" s="86"/>
      <c r="N13" s="86"/>
      <c r="O13" s="50"/>
      <c r="P13" s="167"/>
      <c r="Q13" s="538"/>
      <c r="R13" s="167"/>
      <c r="S13" s="539"/>
      <c r="T13" s="540" t="s">
        <v>416</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9"/>
        <v xml:space="preserve">Добавить источник для дифференциации</v>
      </c>
      <c r="AQ13" s="129"/>
      <c r="AR13" s="129"/>
      <c r="AS13" s="57">
        <v>0</v>
      </c>
    </row>
    <row r="14" s="57" customFormat="1" ht="0.75" hidden="1" customHeight="1">
      <c r="A14" s="264"/>
      <c r="B14" s="264"/>
      <c r="C14" s="264"/>
      <c r="D14" s="264"/>
      <c r="E14" s="590"/>
      <c r="F14" s="589"/>
      <c r="G14" s="264"/>
      <c r="H14" s="264"/>
      <c r="I14" s="264"/>
      <c r="J14" s="264"/>
      <c r="K14" s="264"/>
      <c r="L14" s="337"/>
      <c r="M14" s="596"/>
      <c r="N14" s="596"/>
      <c r="O14" s="50"/>
      <c r="P14" s="167"/>
      <c r="Q14" s="538"/>
      <c r="R14" s="167"/>
      <c r="S14" s="543"/>
      <c r="T14" s="544" t="s">
        <v>238</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9"/>
        <v xml:space="preserve">Добавить централизованную систему для дифференциации</v>
      </c>
      <c r="AQ14" s="129"/>
      <c r="AR14" s="129"/>
      <c r="AS14" s="57">
        <v>0</v>
      </c>
    </row>
    <row r="15" s="57" customFormat="1" ht="0.75" hidden="1" customHeight="1">
      <c r="A15" s="264"/>
      <c r="B15" s="264"/>
      <c r="C15" s="264"/>
      <c r="D15" s="264"/>
      <c r="E15" s="589"/>
      <c r="F15" s="264"/>
      <c r="G15" s="264"/>
      <c r="H15" s="264"/>
      <c r="I15" s="264"/>
      <c r="J15" s="264"/>
      <c r="K15" s="264"/>
      <c r="L15" s="337"/>
      <c r="M15" s="596"/>
      <c r="N15" s="596"/>
      <c r="O15" s="50"/>
      <c r="P15" s="167"/>
      <c r="Q15" s="538"/>
      <c r="R15" s="167"/>
      <c r="S15" s="543"/>
      <c r="T15" s="546" t="s">
        <v>239</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9"/>
        <v xml:space="preserve">Добавить территорию для дифференциации</v>
      </c>
      <c r="AQ15" s="129"/>
      <c r="AR15" s="129"/>
      <c r="AS15" s="57">
        <v>0</v>
      </c>
    </row>
    <row r="16" ht="14.25" hidden="1" customHeight="1">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5" t="s">
        <v>417</v>
      </c>
      <c r="P20" s="61"/>
      <c r="Q20" s="552"/>
      <c r="R20" s="552"/>
      <c r="S20" s="496"/>
      <c r="Z20" s="551"/>
      <c r="AB20" s="551"/>
      <c r="AH20" s="551"/>
      <c r="AJ20" s="551"/>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2"/>
      <c r="R21" s="552"/>
      <c r="S21" s="496"/>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7" t="s">
        <v>418</v>
      </c>
      <c r="P22" s="61"/>
      <c r="Q22" s="552"/>
      <c r="R22" s="552"/>
      <c r="S22" s="496"/>
      <c r="T22" s="53" t="s">
        <v>419</v>
      </c>
      <c r="AA22" s="151" t="s">
        <v>420</v>
      </c>
      <c r="AC22" s="151" t="s">
        <v>421</v>
      </c>
      <c r="AD22" s="53" t="s">
        <v>419</v>
      </c>
      <c r="AI22" s="151" t="s">
        <v>422</v>
      </c>
      <c r="AK22" s="151" t="s">
        <v>421</v>
      </c>
      <c r="AN22" s="57"/>
      <c r="AO22" s="57"/>
      <c r="AP22" s="57"/>
      <c r="AQ22" s="57"/>
      <c r="AR22" s="57"/>
      <c r="AS22" s="53">
        <v>0</v>
      </c>
    </row>
    <row r="23" ht="14.25" hidden="1" customHeight="1">
      <c r="O23" s="337"/>
      <c r="AS23" s="50">
        <v>0</v>
      </c>
    </row>
    <row r="24" ht="14.25" hidden="1" customHeight="1">
      <c r="O24" s="337"/>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14.65" customHeight="1">
      <c r="Q26" s="553"/>
      <c r="R26" s="553"/>
      <c r="S26" s="466"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6"/>
      <c r="U26" s="466"/>
      <c r="V26" s="466"/>
      <c r="W26" s="466"/>
      <c r="X26" s="466"/>
      <c r="Y26" s="466"/>
      <c r="Z26" s="466"/>
      <c r="AA26" s="466"/>
      <c r="AB26" s="466"/>
      <c r="AC26" s="466"/>
      <c r="AD26" s="466"/>
      <c r="AE26" s="466"/>
      <c r="AF26" s="466"/>
      <c r="AG26" s="466"/>
      <c r="AH26" s="466"/>
      <c r="AI26" s="466"/>
      <c r="AJ26" s="466"/>
      <c r="AK26" s="240"/>
      <c r="AS26" s="50">
        <v>14</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06"/>
      <c r="B29" s="106"/>
      <c r="C29" s="106"/>
      <c r="D29" s="106"/>
      <c r="E29" s="106"/>
      <c r="F29" s="106"/>
      <c r="G29" s="106"/>
      <c r="H29" s="106"/>
      <c r="I29" s="106"/>
      <c r="J29" s="106"/>
      <c r="K29" s="106"/>
      <c r="L29" s="337"/>
      <c r="M29" s="106"/>
      <c r="N29" s="106"/>
      <c r="O29" s="106"/>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06"/>
      <c r="B30" s="106"/>
      <c r="C30" s="106"/>
      <c r="D30" s="106"/>
      <c r="E30" s="106"/>
      <c r="F30" s="106"/>
      <c r="G30" s="106"/>
      <c r="H30" s="106"/>
      <c r="I30" s="106"/>
      <c r="J30" s="106"/>
      <c r="K30" s="106"/>
      <c r="L30" s="337"/>
      <c r="M30" s="106"/>
      <c r="N30" s="106"/>
      <c r="O30" s="106"/>
      <c r="S30" s="556" t="s">
        <v>423</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06"/>
      <c r="B31" s="106"/>
      <c r="C31" s="106"/>
      <c r="D31" s="106"/>
      <c r="E31" s="106"/>
      <c r="F31" s="106"/>
      <c r="G31" s="106"/>
      <c r="H31" s="106"/>
      <c r="I31" s="106"/>
      <c r="J31" s="106"/>
      <c r="K31" s="106"/>
      <c r="L31" s="337"/>
      <c r="M31" s="106"/>
      <c r="N31" s="106"/>
      <c r="O31" s="106"/>
      <c r="S31" s="556" t="s">
        <v>424</v>
      </c>
      <c r="T31" s="556"/>
      <c r="U31" s="557"/>
      <c r="V31" s="558" t="str">
        <f>IF(TITLE_NUMBER_PR_CHANGE="",IF(TITLE_NUMBER_PR="","",TITLE_NUMBER_PR),TITLE_NUMBER_PR_CHANGE)</f>
        <v>ПГ/01/950</v>
      </c>
      <c r="W31" s="558"/>
      <c r="X31" s="558"/>
      <c r="Y31" s="558"/>
      <c r="Z31" s="558"/>
      <c r="AA31" s="558"/>
      <c r="AB31" s="558"/>
      <c r="AC31" s="50"/>
      <c r="AD31" s="558" t="str">
        <f>IF(TITLE_NUMBER_PR_CHANGE="",IF(TITLE_NUMBER_PR="","",TITLE_NUMBER_PR),TITLE_NUMBER_PR_CHANGE)</f>
        <v>ПГ/01/950</v>
      </c>
      <c r="AE31" s="558"/>
      <c r="AF31" s="558"/>
      <c r="AG31" s="558"/>
      <c r="AH31" s="558"/>
      <c r="AI31" s="558"/>
      <c r="AJ31" s="558"/>
      <c r="AK31" s="50"/>
      <c r="AL31" s="50"/>
      <c r="AM31" s="559"/>
      <c r="AN31" s="129"/>
      <c r="AO31" s="129"/>
      <c r="AP31" s="129"/>
      <c r="AQ31" s="129"/>
      <c r="AR31" s="129"/>
      <c r="AS31" s="184">
        <v>0</v>
      </c>
    </row>
    <row r="32" s="184" customFormat="1" ht="18.75" hidden="1" customHeight="1">
      <c r="A32" s="106"/>
      <c r="B32" s="106"/>
      <c r="C32" s="106"/>
      <c r="D32" s="106"/>
      <c r="E32" s="106"/>
      <c r="F32" s="106"/>
      <c r="G32" s="106"/>
      <c r="H32" s="106"/>
      <c r="I32" s="106"/>
      <c r="J32" s="106"/>
      <c r="K32" s="106"/>
      <c r="L32" s="337"/>
      <c r="M32" s="106"/>
      <c r="N32" s="106"/>
      <c r="O32" s="106"/>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hidden="1"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hidden="1" customHeight="1">
      <c r="A34" s="106"/>
      <c r="B34" s="106"/>
      <c r="C34" s="106"/>
      <c r="D34" s="106"/>
      <c r="E34" s="106"/>
      <c r="F34" s="106"/>
      <c r="G34" s="106"/>
      <c r="H34" s="106"/>
      <c r="I34" s="106"/>
      <c r="J34" s="106"/>
      <c r="K34" s="106"/>
      <c r="L34" s="337"/>
      <c r="M34" s="106"/>
      <c r="N34" s="106"/>
      <c r="O34" s="106"/>
      <c r="S34" s="556" t="s">
        <v>425</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hidden="1" customHeight="1">
      <c r="A35" s="106"/>
      <c r="B35" s="106"/>
      <c r="C35" s="106"/>
      <c r="D35" s="106"/>
      <c r="E35" s="106"/>
      <c r="F35" s="106"/>
      <c r="G35" s="106"/>
      <c r="H35" s="106"/>
      <c r="I35" s="106"/>
      <c r="J35" s="106"/>
      <c r="K35" s="106"/>
      <c r="L35" s="337"/>
      <c r="M35" s="106"/>
      <c r="N35" s="106"/>
      <c r="O35" s="106"/>
      <c r="S35" s="556" t="s">
        <v>426</v>
      </c>
      <c r="T35" s="556"/>
      <c r="U35" s="557"/>
      <c r="V35" s="558" t="str">
        <f>IF(TITLE_NUMBER_PR_CHANGE="",IF(TITLE_NUMBER_PR="","",TITLE_NUMBER_PR),TITLE_NUMBER_PR_CHANGE)</f>
        <v>ПГ/01/950</v>
      </c>
      <c r="W35" s="558"/>
      <c r="X35" s="558"/>
      <c r="Y35" s="558"/>
      <c r="Z35" s="558"/>
      <c r="AA35" s="558"/>
      <c r="AB35" s="558"/>
      <c r="AC35" s="50"/>
      <c r="AD35" s="558" t="str">
        <f>IF(TITLE_NUMBER_PR_CHANGE="",IF(TITLE_NUMBER_PR="","",TITLE_NUMBER_PR),TITLE_NUMBER_PR_CHANGE)</f>
        <v>ПГ/01/950</v>
      </c>
      <c r="AE35" s="558"/>
      <c r="AF35" s="558"/>
      <c r="AG35" s="558"/>
      <c r="AH35" s="558"/>
      <c r="AI35" s="558"/>
      <c r="AJ35" s="558"/>
      <c r="AK35" s="50"/>
      <c r="AL35" s="50"/>
      <c r="AM35" s="559"/>
      <c r="AN35" s="129"/>
      <c r="AO35" s="129"/>
      <c r="AP35" s="129"/>
      <c r="AQ35" s="129"/>
      <c r="AR35" s="129"/>
      <c r="AS35" s="184">
        <v>0</v>
      </c>
    </row>
    <row r="36" s="184" customFormat="1" ht="0" customHeight="1">
      <c r="A36" s="106"/>
      <c r="B36" s="106"/>
      <c r="C36" s="106"/>
      <c r="D36" s="106"/>
      <c r="E36" s="106"/>
      <c r="F36" s="106"/>
      <c r="G36" s="106"/>
      <c r="H36" s="106"/>
      <c r="I36" s="106"/>
      <c r="J36" s="106"/>
      <c r="K36" s="106"/>
      <c r="L36" s="337"/>
      <c r="M36" s="106"/>
      <c r="N36" s="106"/>
      <c r="O36" s="106"/>
      <c r="S36" s="50"/>
      <c r="T36" s="50"/>
      <c r="U36" s="140"/>
      <c r="V36" s="50"/>
      <c r="W36" s="50"/>
      <c r="X36" s="50"/>
      <c r="Y36" s="50"/>
      <c r="Z36" s="50"/>
      <c r="AA36" s="50"/>
      <c r="AB36" s="50"/>
      <c r="AC36" s="57" t="s">
        <v>427</v>
      </c>
      <c r="AD36" s="50"/>
      <c r="AE36" s="50"/>
      <c r="AF36" s="50"/>
      <c r="AG36" s="50"/>
      <c r="AH36" s="50"/>
      <c r="AI36" s="50"/>
      <c r="AJ36" s="50"/>
      <c r="AK36" s="57" t="s">
        <v>427</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302</v>
      </c>
      <c r="T38" s="157"/>
      <c r="U38" s="157"/>
      <c r="V38" s="157"/>
      <c r="W38" s="157"/>
      <c r="X38" s="157"/>
      <c r="Y38" s="157"/>
      <c r="Z38" s="157"/>
      <c r="AA38" s="157"/>
      <c r="AB38" s="157"/>
      <c r="AC38" s="157"/>
      <c r="AD38" s="157"/>
      <c r="AE38" s="157"/>
      <c r="AF38" s="157"/>
      <c r="AG38" s="157"/>
      <c r="AH38" s="157"/>
      <c r="AI38" s="157"/>
      <c r="AJ38" s="157"/>
      <c r="AK38" s="157"/>
      <c r="AL38" s="157"/>
      <c r="AM38" s="157" t="s">
        <v>303</v>
      </c>
      <c r="AS38" s="50">
        <v>14</v>
      </c>
    </row>
    <row r="39" ht="14.65" customHeight="1">
      <c r="Q39" s="553"/>
      <c r="R39" s="553"/>
      <c r="S39" s="498" t="s">
        <v>88</v>
      </c>
      <c r="T39" s="362" t="s">
        <v>428</v>
      </c>
      <c r="U39" s="563"/>
      <c r="V39" s="564" t="s">
        <v>429</v>
      </c>
      <c r="W39" s="565"/>
      <c r="X39" s="565"/>
      <c r="Y39" s="565"/>
      <c r="Z39" s="565"/>
      <c r="AA39" s="565"/>
      <c r="AB39" s="566"/>
      <c r="AC39" s="567" t="s">
        <v>430</v>
      </c>
      <c r="AD39" s="564" t="s">
        <v>429</v>
      </c>
      <c r="AE39" s="565"/>
      <c r="AF39" s="565"/>
      <c r="AG39" s="565"/>
      <c r="AH39" s="565"/>
      <c r="AI39" s="565"/>
      <c r="AJ39" s="566"/>
      <c r="AK39" s="567" t="s">
        <v>431</v>
      </c>
      <c r="AL39" s="568" t="s">
        <v>432</v>
      </c>
      <c r="AM39" s="157"/>
      <c r="AS39" s="50">
        <v>14</v>
      </c>
    </row>
    <row r="40" ht="35.649999999999999" customHeight="1">
      <c r="Q40" s="553"/>
      <c r="R40" s="553"/>
      <c r="S40" s="498"/>
      <c r="T40" s="362"/>
      <c r="U40" s="569"/>
      <c r="V40" s="324" t="s">
        <v>433</v>
      </c>
      <c r="W40" s="570" t="s">
        <v>434</v>
      </c>
      <c r="X40" s="73" t="s">
        <v>435</v>
      </c>
      <c r="Y40" s="72"/>
      <c r="Z40" s="73" t="s">
        <v>448</v>
      </c>
      <c r="AA40" s="145"/>
      <c r="AB40" s="72"/>
      <c r="AC40" s="571"/>
      <c r="AD40" s="324" t="s">
        <v>433</v>
      </c>
      <c r="AE40" s="570" t="s">
        <v>434</v>
      </c>
      <c r="AF40" s="73" t="s">
        <v>435</v>
      </c>
      <c r="AG40" s="72"/>
      <c r="AH40" s="73" t="s">
        <v>436</v>
      </c>
      <c r="AI40" s="145"/>
      <c r="AJ40" s="72"/>
      <c r="AK40" s="571"/>
      <c r="AL40" s="572"/>
      <c r="AM40" s="157"/>
      <c r="AS40" s="50">
        <v>34</v>
      </c>
    </row>
    <row r="41" ht="35.649999999999999" customHeight="1">
      <c r="A41" s="106"/>
      <c r="B41" s="106" t="s">
        <v>135</v>
      </c>
      <c r="C41" s="106" t="s">
        <v>136</v>
      </c>
      <c r="D41" s="106" t="s">
        <v>137</v>
      </c>
      <c r="E41" s="337" t="s">
        <v>437</v>
      </c>
      <c r="F41" s="337" t="s">
        <v>438</v>
      </c>
      <c r="G41" s="337" t="s">
        <v>439</v>
      </c>
      <c r="H41" s="337" t="s">
        <v>440</v>
      </c>
      <c r="I41" s="337" t="s">
        <v>441</v>
      </c>
      <c r="J41" s="337" t="s">
        <v>442</v>
      </c>
      <c r="K41" s="337" t="s">
        <v>443</v>
      </c>
      <c r="L41" s="337" t="s">
        <v>418</v>
      </c>
      <c r="Q41" s="553"/>
      <c r="R41" s="553"/>
      <c r="S41" s="498"/>
      <c r="T41" s="362"/>
      <c r="U41" s="573"/>
      <c r="V41" s="162"/>
      <c r="W41" s="574"/>
      <c r="X41" s="246" t="s">
        <v>444</v>
      </c>
      <c r="Y41" s="246" t="s">
        <v>445</v>
      </c>
      <c r="Z41" s="246" t="s">
        <v>446</v>
      </c>
      <c r="AA41" s="429" t="s">
        <v>447</v>
      </c>
      <c r="AB41" s="431"/>
      <c r="AC41" s="575"/>
      <c r="AD41" s="162"/>
      <c r="AE41" s="574"/>
      <c r="AF41" s="246" t="s">
        <v>444</v>
      </c>
      <c r="AG41" s="246" t="s">
        <v>445</v>
      </c>
      <c r="AH41" s="246" t="s">
        <v>446</v>
      </c>
      <c r="AI41" s="429" t="s">
        <v>447</v>
      </c>
      <c r="AJ41" s="431"/>
      <c r="AK41" s="575"/>
      <c r="AL41" s="576"/>
      <c r="AM41" s="157"/>
      <c r="AS41" s="50">
        <v>34</v>
      </c>
    </row>
    <row r="42" s="131" customFormat="1" ht="11.25" hidden="1" customHeight="1">
      <c r="A42" s="106"/>
      <c r="B42" s="106"/>
      <c r="C42" s="106"/>
      <c r="D42" s="106"/>
      <c r="E42" s="106"/>
      <c r="F42" s="106"/>
      <c r="G42" s="106"/>
      <c r="H42" s="106"/>
      <c r="I42" s="106"/>
      <c r="J42" s="106"/>
      <c r="K42" s="106"/>
      <c r="L42" s="337"/>
      <c r="M42" s="60"/>
      <c r="N42" s="60"/>
      <c r="O42" s="60"/>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264" t="s">
        <v>209</v>
      </c>
      <c r="B43" s="264"/>
      <c r="C43" s="264"/>
      <c r="D43" s="264"/>
      <c r="E43" s="589">
        <v>1</v>
      </c>
      <c r="F43" s="264"/>
      <c r="G43" s="264"/>
      <c r="H43" s="264"/>
      <c r="I43" s="264"/>
      <c r="J43" s="264"/>
      <c r="K43" s="264"/>
      <c r="L43" s="337"/>
      <c r="M43" s="86"/>
      <c r="N43" s="86"/>
      <c r="O43" s="8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9"/>
        <v xml:space="preserve">Наименование тарифа</v>
      </c>
      <c r="AQ43" s="129"/>
      <c r="AR43" s="129"/>
      <c r="AS43" s="50">
        <v>21</v>
      </c>
    </row>
    <row r="44" ht="22" customHeight="1">
      <c r="A44" s="264" t="s">
        <v>209</v>
      </c>
      <c r="B44" s="264" t="s">
        <v>210</v>
      </c>
      <c r="C44" s="264"/>
      <c r="D44" s="264"/>
      <c r="E44" s="590"/>
      <c r="F44" s="589">
        <v>1</v>
      </c>
      <c r="G44" s="264"/>
      <c r="H44" s="264"/>
      <c r="I44" s="264"/>
      <c r="J44" s="264"/>
      <c r="K44" s="264"/>
      <c r="L44" s="337"/>
      <c r="M44" s="86"/>
      <c r="N44" s="86"/>
      <c r="O44" s="86"/>
      <c r="P44" s="51"/>
      <c r="Q44" s="506"/>
      <c r="R44" s="507"/>
      <c r="S44" s="498" t="str">
        <f>INDEX(PT_DIFFERENTIATION_NUM_TER,MATCH(B44,PT_DIFFERENTIATION_TER_ID,0))</f>
        <v>.</v>
      </c>
      <c r="T44" s="508" t="s">
        <v>399</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400</v>
      </c>
      <c r="AO44" s="129"/>
      <c r="AP44" s="129" t="str">
        <f t="shared" si="9"/>
        <v xml:space="preserve">Территория действия тарифа</v>
      </c>
      <c r="AQ44" s="129"/>
      <c r="AR44" s="129"/>
      <c r="AS44" s="50">
        <v>21</v>
      </c>
    </row>
    <row r="45" ht="24" customHeight="1">
      <c r="A45" s="264" t="s">
        <v>209</v>
      </c>
      <c r="B45" s="264" t="s">
        <v>210</v>
      </c>
      <c r="C45" s="264" t="s">
        <v>211</v>
      </c>
      <c r="D45" s="264"/>
      <c r="E45" s="590"/>
      <c r="F45" s="590"/>
      <c r="G45" s="589">
        <v>1</v>
      </c>
      <c r="H45" s="264"/>
      <c r="I45" s="264"/>
      <c r="J45" s="264"/>
      <c r="K45" s="264"/>
      <c r="L45" s="337"/>
      <c r="M45" s="86"/>
      <c r="N45" s="86"/>
      <c r="O45" s="86"/>
      <c r="P45" s="509"/>
      <c r="Q45" s="506"/>
      <c r="R45" s="507"/>
      <c r="S45" s="498" t="str">
        <f>INDEX(PT_DIFFERENTIATION_NUM_CS,MATCH(C45,PT_DIFFERENTIATION_CS_ID,0))</f>
        <v>..</v>
      </c>
      <c r="T45" s="510" t="s">
        <v>401</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402</v>
      </c>
      <c r="AO45" s="129"/>
      <c r="AP45" s="129" t="str">
        <f t="shared" si="9"/>
        <v xml:space="preserve">Наименование системы теплоснабжения</v>
      </c>
      <c r="AQ45" s="129"/>
      <c r="AR45" s="129"/>
      <c r="AS45" s="50">
        <v>23</v>
      </c>
    </row>
    <row r="46" ht="22" customHeight="1">
      <c r="A46" s="264" t="s">
        <v>209</v>
      </c>
      <c r="B46" s="264" t="s">
        <v>210</v>
      </c>
      <c r="C46" s="264" t="s">
        <v>211</v>
      </c>
      <c r="D46" s="264" t="s">
        <v>212</v>
      </c>
      <c r="E46" s="590"/>
      <c r="F46" s="590"/>
      <c r="G46" s="590"/>
      <c r="H46" s="589">
        <v>1</v>
      </c>
      <c r="I46" s="264"/>
      <c r="J46" s="264"/>
      <c r="K46" s="264"/>
      <c r="L46" s="337"/>
      <c r="M46" s="86"/>
      <c r="N46" s="86"/>
      <c r="O46" s="86"/>
      <c r="P46" s="509"/>
      <c r="Q46" s="506"/>
      <c r="R46" s="507"/>
      <c r="S46" s="498" t="str">
        <f>INDEX(PT_DIFFERENTIATION_NUM_IST_TE,MATCH(D46,PT_DIFFERENTIATION_IST_TE_ID,0))</f>
        <v>...</v>
      </c>
      <c r="T46" s="511" t="s">
        <v>403</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404</v>
      </c>
      <c r="AO46" s="129"/>
      <c r="AP46" s="129" t="str">
        <f t="shared" si="9"/>
        <v xml:space="preserve">Источник тепловой энергии</v>
      </c>
      <c r="AQ46" s="129"/>
      <c r="AR46" s="129"/>
      <c r="AS46" s="50">
        <v>21</v>
      </c>
    </row>
    <row r="47" ht="49.5" customHeight="1">
      <c r="A47" s="264" t="s">
        <v>209</v>
      </c>
      <c r="B47" s="264" t="s">
        <v>210</v>
      </c>
      <c r="C47" s="264" t="s">
        <v>211</v>
      </c>
      <c r="D47" s="264" t="s">
        <v>212</v>
      </c>
      <c r="E47" s="590"/>
      <c r="F47" s="590"/>
      <c r="G47" s="590"/>
      <c r="H47" s="590"/>
      <c r="I47" s="157" t="str">
        <f>S46&amp;".1"</f>
        <v>....1</v>
      </c>
      <c r="J47" s="264"/>
      <c r="K47" s="264"/>
      <c r="L47" s="337" t="s">
        <v>405</v>
      </c>
      <c r="P47" s="132">
        <v>1</v>
      </c>
      <c r="Q47" s="132"/>
      <c r="R47" s="513"/>
      <c r="S47" s="498" t="str">
        <f>$I47</f>
        <v>....1</v>
      </c>
      <c r="T47" s="514" t="s">
        <v>406</v>
      </c>
      <c r="U47" s="500"/>
      <c r="V47" s="445"/>
      <c r="W47" s="515"/>
      <c r="X47" s="515"/>
      <c r="Y47" s="515"/>
      <c r="Z47" s="515"/>
      <c r="AA47" s="515"/>
      <c r="AB47" s="515"/>
      <c r="AC47" s="516"/>
      <c r="AD47" s="445"/>
      <c r="AE47" s="515"/>
      <c r="AF47" s="515"/>
      <c r="AG47" s="515"/>
      <c r="AH47" s="515"/>
      <c r="AI47" s="515"/>
      <c r="AJ47" s="515"/>
      <c r="AK47" s="515"/>
      <c r="AL47" s="516"/>
      <c r="AM47" s="504" t="s">
        <v>407</v>
      </c>
      <c r="AO47" s="129"/>
      <c r="AP47" s="129" t="str">
        <f t="shared" si="9"/>
        <v xml:space="preserve">Схема подключения теплопотребляющей установки к коллектору источника тепловой энергии</v>
      </c>
      <c r="AQ47" s="129"/>
      <c r="AR47" s="129"/>
      <c r="AS47" s="50">
        <v>47</v>
      </c>
    </row>
    <row r="48" ht="22" customHeight="1">
      <c r="A48" s="264" t="s">
        <v>209</v>
      </c>
      <c r="B48" s="264" t="s">
        <v>210</v>
      </c>
      <c r="C48" s="264" t="s">
        <v>211</v>
      </c>
      <c r="D48" s="264" t="s">
        <v>212</v>
      </c>
      <c r="E48" s="590"/>
      <c r="F48" s="590"/>
      <c r="G48" s="590"/>
      <c r="H48" s="590"/>
      <c r="I48" s="73"/>
      <c r="J48" s="157" t="str">
        <f>I47&amp;".1"</f>
        <v>....1.1</v>
      </c>
      <c r="K48" s="264"/>
      <c r="L48" s="337" t="s">
        <v>408</v>
      </c>
      <c r="P48" s="132"/>
      <c r="Q48" s="132">
        <v>1</v>
      </c>
      <c r="R48" s="518"/>
      <c r="S48" s="498" t="str">
        <f>$J48</f>
        <v>....1.1</v>
      </c>
      <c r="T48" s="519" t="s">
        <v>409</v>
      </c>
      <c r="U48" s="500"/>
      <c r="V48" s="445"/>
      <c r="W48" s="515"/>
      <c r="X48" s="515"/>
      <c r="Y48" s="515"/>
      <c r="Z48" s="515"/>
      <c r="AA48" s="515"/>
      <c r="AB48" s="515"/>
      <c r="AC48" s="516"/>
      <c r="AD48" s="445"/>
      <c r="AE48" s="515"/>
      <c r="AF48" s="515"/>
      <c r="AG48" s="515"/>
      <c r="AH48" s="515"/>
      <c r="AI48" s="515"/>
      <c r="AJ48" s="515"/>
      <c r="AK48" s="515"/>
      <c r="AL48" s="516"/>
      <c r="AM48" s="504" t="s">
        <v>410</v>
      </c>
      <c r="AO48" s="129"/>
      <c r="AP48" s="129" t="str">
        <f t="shared" si="9"/>
        <v xml:space="preserve">Группа потребителей</v>
      </c>
      <c r="AQ48" s="129"/>
      <c r="AR48" s="129"/>
      <c r="AS48" s="50">
        <v>21</v>
      </c>
    </row>
    <row r="49" ht="22" customHeight="1">
      <c r="A49" s="264" t="s">
        <v>209</v>
      </c>
      <c r="B49" s="264" t="s">
        <v>210</v>
      </c>
      <c r="C49" s="264" t="s">
        <v>211</v>
      </c>
      <c r="D49" s="264" t="s">
        <v>212</v>
      </c>
      <c r="E49" s="590"/>
      <c r="F49" s="590"/>
      <c r="G49" s="590"/>
      <c r="H49" s="590"/>
      <c r="I49" s="73"/>
      <c r="J49" s="73"/>
      <c r="K49" s="157" t="str">
        <f>J48&amp;".1"</f>
        <v>....1.1.1</v>
      </c>
      <c r="L49" s="337" t="s">
        <v>411</v>
      </c>
      <c r="P49" s="132"/>
      <c r="Q49" s="132"/>
      <c r="R49" s="518">
        <v>1</v>
      </c>
      <c r="S49" s="498" t="str">
        <f>$K49</f>
        <v>....1.1.1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412</v>
      </c>
      <c r="AN49" s="57" t="e">
        <f>STRCHECKDATE(V50:AL50)</f>
        <v>#NAME?</v>
      </c>
      <c r="AO49" s="129"/>
      <c r="AP49" s="129" t="str">
        <f t="shared" si="9"/>
        <v/>
      </c>
      <c r="AQ49" s="129"/>
      <c r="AR49" s="129"/>
      <c r="AS49" s="50">
        <v>21</v>
      </c>
    </row>
    <row r="50" ht="1.05" customHeight="1">
      <c r="A50" s="264" t="s">
        <v>209</v>
      </c>
      <c r="B50" s="264" t="s">
        <v>210</v>
      </c>
      <c r="C50" s="264" t="s">
        <v>211</v>
      </c>
      <c r="D50" s="264" t="s">
        <v>212</v>
      </c>
      <c r="E50" s="590"/>
      <c r="F50" s="590"/>
      <c r="G50" s="590"/>
      <c r="H50" s="590"/>
      <c r="I50" s="73"/>
      <c r="J50" s="73"/>
      <c r="K50" s="157"/>
      <c r="L50" s="337"/>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9"/>
        <v/>
      </c>
      <c r="AQ50" s="129"/>
      <c r="AR50" s="129"/>
      <c r="AS50" s="50">
        <v>1</v>
      </c>
    </row>
    <row r="51" ht="11.5" customHeight="1">
      <c r="A51" s="264" t="s">
        <v>209</v>
      </c>
      <c r="B51" s="264" t="s">
        <v>210</v>
      </c>
      <c r="C51" s="264" t="s">
        <v>211</v>
      </c>
      <c r="D51" s="264" t="s">
        <v>212</v>
      </c>
      <c r="E51" s="590"/>
      <c r="F51" s="590"/>
      <c r="G51" s="590"/>
      <c r="H51" s="590"/>
      <c r="I51" s="73"/>
      <c r="J51" s="157"/>
      <c r="K51" s="264"/>
      <c r="L51" s="337"/>
      <c r="P51" s="132"/>
      <c r="Q51" s="132"/>
      <c r="R51" s="513"/>
      <c r="S51" s="529"/>
      <c r="T51" s="530" t="s">
        <v>413</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9"/>
        <v xml:space="preserve">Добавить вид теплоносителя (параметры теплоносителя)</v>
      </c>
      <c r="AQ51" s="129"/>
      <c r="AR51" s="129"/>
      <c r="AS51" s="50">
        <v>11</v>
      </c>
    </row>
    <row r="52" ht="11.5" customHeight="1">
      <c r="A52" s="264" t="s">
        <v>209</v>
      </c>
      <c r="B52" s="264" t="s">
        <v>210</v>
      </c>
      <c r="C52" s="264" t="s">
        <v>211</v>
      </c>
      <c r="D52" s="264" t="s">
        <v>212</v>
      </c>
      <c r="E52" s="590"/>
      <c r="F52" s="590"/>
      <c r="G52" s="590"/>
      <c r="H52" s="590"/>
      <c r="I52" s="157"/>
      <c r="J52" s="264"/>
      <c r="K52" s="264"/>
      <c r="L52" s="337"/>
      <c r="P52" s="132"/>
      <c r="Q52" s="132"/>
      <c r="R52" s="513"/>
      <c r="S52" s="529"/>
      <c r="T52" s="533" t="s">
        <v>414</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9"/>
        <v xml:space="preserve">Добавить группу потребителей</v>
      </c>
      <c r="AQ52" s="129"/>
      <c r="AR52" s="129"/>
      <c r="AS52" s="50">
        <v>11</v>
      </c>
    </row>
    <row r="53" ht="14.65" customHeight="1">
      <c r="A53" s="264" t="s">
        <v>209</v>
      </c>
      <c r="B53" s="264" t="s">
        <v>210</v>
      </c>
      <c r="C53" s="264" t="s">
        <v>211</v>
      </c>
      <c r="D53" s="264" t="s">
        <v>212</v>
      </c>
      <c r="E53" s="590"/>
      <c r="F53" s="590"/>
      <c r="G53" s="590"/>
      <c r="H53" s="589"/>
      <c r="I53" s="264"/>
      <c r="J53" s="264"/>
      <c r="K53" s="264"/>
      <c r="L53" s="337"/>
      <c r="M53" s="86"/>
      <c r="N53" s="86"/>
      <c r="O53" s="50"/>
      <c r="P53" s="143"/>
      <c r="Q53" s="536"/>
      <c r="R53" s="497"/>
      <c r="S53" s="529"/>
      <c r="T53" s="537" t="s">
        <v>415</v>
      </c>
      <c r="U53" s="214"/>
      <c r="V53" s="214"/>
      <c r="W53" s="214"/>
      <c r="X53" s="214"/>
      <c r="Y53" s="214"/>
      <c r="Z53" s="214"/>
      <c r="AA53" s="214"/>
      <c r="AB53" s="214"/>
      <c r="AC53" s="534"/>
      <c r="AD53" s="214"/>
      <c r="AE53" s="214"/>
      <c r="AF53" s="214"/>
      <c r="AG53" s="214"/>
      <c r="AH53" s="214"/>
      <c r="AI53" s="214"/>
      <c r="AJ53" s="214"/>
      <c r="AK53" s="534"/>
      <c r="AL53" s="214"/>
      <c r="AM53" s="535"/>
      <c r="AO53" s="129"/>
      <c r="AP53" s="129" t="str">
        <f t="shared" si="9"/>
        <v xml:space="preserve">Добавить схему подключения</v>
      </c>
      <c r="AQ53" s="129"/>
      <c r="AR53" s="129"/>
      <c r="AS53" s="50">
        <v>14</v>
      </c>
    </row>
    <row r="54" s="57" customFormat="1" ht="1.05" customHeight="1">
      <c r="A54" s="264" t="s">
        <v>209</v>
      </c>
      <c r="B54" s="264" t="s">
        <v>210</v>
      </c>
      <c r="C54" s="264" t="s">
        <v>211</v>
      </c>
      <c r="D54" s="264"/>
      <c r="E54" s="590"/>
      <c r="F54" s="590"/>
      <c r="G54" s="589"/>
      <c r="H54" s="264"/>
      <c r="I54" s="264"/>
      <c r="J54" s="264"/>
      <c r="K54" s="264"/>
      <c r="L54" s="337"/>
      <c r="M54" s="86"/>
      <c r="N54" s="86"/>
      <c r="O54" s="50"/>
      <c r="P54" s="167"/>
      <c r="Q54" s="538"/>
      <c r="R54" s="167"/>
      <c r="S54" s="543"/>
      <c r="T54" s="546" t="s">
        <v>416</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9"/>
        <v xml:space="preserve">Добавить источник для дифференциации</v>
      </c>
      <c r="AQ54" s="129"/>
      <c r="AR54" s="129"/>
      <c r="AS54" s="57">
        <v>1</v>
      </c>
    </row>
    <row r="55" s="57" customFormat="1" ht="1.05" customHeight="1">
      <c r="A55" s="264" t="s">
        <v>209</v>
      </c>
      <c r="B55" s="264" t="s">
        <v>210</v>
      </c>
      <c r="C55" s="264"/>
      <c r="D55" s="264"/>
      <c r="E55" s="590"/>
      <c r="F55" s="589"/>
      <c r="G55" s="264"/>
      <c r="H55" s="264"/>
      <c r="I55" s="264"/>
      <c r="J55" s="264"/>
      <c r="K55" s="264"/>
      <c r="L55" s="337"/>
      <c r="M55" s="596"/>
      <c r="N55" s="596"/>
      <c r="O55" s="50"/>
      <c r="P55" s="167"/>
      <c r="Q55" s="538"/>
      <c r="R55" s="167"/>
      <c r="S55" s="543"/>
      <c r="T55" s="546" t="s">
        <v>238</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9"/>
        <v xml:space="preserve">Добавить централизованную систему для дифференциации</v>
      </c>
      <c r="AQ55" s="129"/>
      <c r="AR55" s="129"/>
      <c r="AS55" s="57">
        <v>1</v>
      </c>
    </row>
    <row r="56" s="57" customFormat="1" ht="1.05" customHeight="1">
      <c r="A56" s="264" t="s">
        <v>209</v>
      </c>
      <c r="B56" s="264"/>
      <c r="C56" s="264"/>
      <c r="D56" s="264"/>
      <c r="E56" s="589"/>
      <c r="F56" s="264"/>
      <c r="G56" s="264"/>
      <c r="H56" s="264"/>
      <c r="I56" s="264"/>
      <c r="J56" s="264"/>
      <c r="K56" s="264"/>
      <c r="L56" s="337"/>
      <c r="M56" s="596"/>
      <c r="N56" s="596"/>
      <c r="O56" s="50"/>
      <c r="P56" s="167"/>
      <c r="Q56" s="538"/>
      <c r="R56" s="167"/>
      <c r="S56" s="543"/>
      <c r="T56" s="546" t="s">
        <v>239</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9"/>
        <v xml:space="preserve">Добавить территорию для дифференциации</v>
      </c>
      <c r="AQ56" s="129"/>
      <c r="AR56" s="129"/>
      <c r="AS56" s="57">
        <v>1</v>
      </c>
    </row>
    <row r="57" s="57" customFormat="1" ht="1.05" customHeight="1">
      <c r="A57" s="264"/>
      <c r="B57" s="264"/>
      <c r="C57" s="264"/>
      <c r="D57" s="264"/>
      <c r="E57" s="264"/>
      <c r="F57" s="264"/>
      <c r="G57" s="264"/>
      <c r="H57" s="264"/>
      <c r="I57" s="264"/>
      <c r="J57" s="264"/>
      <c r="K57" s="264"/>
      <c r="L57" s="337"/>
      <c r="M57" s="596"/>
      <c r="N57" s="596"/>
      <c r="O57" s="50"/>
      <c r="P57" s="167"/>
      <c r="Q57" s="538"/>
      <c r="R57" s="167"/>
      <c r="S57" s="543"/>
      <c r="T57" s="546" t="s">
        <v>240</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9"/>
        <v xml:space="preserve">Добавить наименование тарифа</v>
      </c>
      <c r="AQ57" s="129"/>
      <c r="AR57" s="129"/>
      <c r="AS57" s="57">
        <v>1</v>
      </c>
    </row>
    <row r="58" ht="11.5" customHeight="1">
      <c r="M58" s="50"/>
      <c r="N58" s="50"/>
      <c r="O58" s="50"/>
      <c r="P58" s="50"/>
      <c r="Q58" s="50"/>
      <c r="R58" s="50"/>
      <c r="S58" s="50"/>
      <c r="AN58" s="50"/>
      <c r="AO58" s="50"/>
      <c r="AP58" s="50"/>
      <c r="AQ58" s="50"/>
      <c r="AR58" s="50"/>
      <c r="AS58" s="50">
        <v>11</v>
      </c>
    </row>
    <row r="59" ht="28.5" customHeight="1">
      <c r="O59" s="50"/>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27</v>
      </c>
    </row>
    <row r="60" ht="65.25" customHeight="1">
      <c r="O60" s="50"/>
      <c r="T60" s="588"/>
      <c r="U60" s="588"/>
      <c r="V60" s="588"/>
      <c r="W60" s="588"/>
      <c r="X60" s="588"/>
      <c r="Y60" s="588"/>
      <c r="Z60" s="588"/>
      <c r="AA60" s="588"/>
      <c r="AB60" s="588"/>
      <c r="AC60" s="588"/>
      <c r="AD60" s="588"/>
      <c r="AE60" s="588"/>
      <c r="AF60" s="588"/>
      <c r="AG60" s="588"/>
      <c r="AH60" s="588"/>
      <c r="AI60" s="588"/>
      <c r="AJ60" s="588"/>
      <c r="AK60" s="588"/>
      <c r="AL60" s="588"/>
      <c r="AM60" s="588"/>
      <c r="AS60" s="50">
        <v>62</v>
      </c>
    </row>
    <row r="61" ht="14.65" customHeight="1">
      <c r="O61" s="50"/>
      <c r="AS61" s="50">
        <v>14</v>
      </c>
    </row>
    <row r="62" ht="18.75" customHeight="1">
      <c r="O62" s="50"/>
      <c r="S62" s="490"/>
      <c r="T62" s="588"/>
      <c r="U62" s="588"/>
      <c r="V62" s="588"/>
      <c r="W62" s="588"/>
      <c r="X62" s="588"/>
      <c r="Y62" s="588"/>
      <c r="Z62" s="588"/>
      <c r="AA62" s="588"/>
      <c r="AB62" s="588"/>
      <c r="AC62" s="588"/>
      <c r="AD62" s="588"/>
      <c r="AE62" s="588"/>
      <c r="AF62" s="588"/>
      <c r="AG62" s="588"/>
      <c r="AH62" s="588"/>
      <c r="AI62" s="588"/>
      <c r="AJ62" s="588"/>
      <c r="AK62" s="588"/>
      <c r="AL62" s="588"/>
      <c r="AM62" s="588"/>
      <c r="AS62" s="50">
        <v>18</v>
      </c>
    </row>
    <row r="63" ht="18.75" customHeight="1">
      <c r="O63" s="50"/>
      <c r="T63" s="588"/>
      <c r="U63" s="588"/>
      <c r="V63" s="588"/>
      <c r="W63" s="588"/>
      <c r="X63" s="588"/>
      <c r="Y63" s="588"/>
      <c r="Z63" s="588"/>
      <c r="AA63" s="588"/>
      <c r="AB63" s="588"/>
      <c r="AC63" s="588"/>
      <c r="AD63" s="588"/>
      <c r="AE63" s="588"/>
      <c r="AF63" s="588"/>
      <c r="AG63" s="588"/>
      <c r="AH63" s="588"/>
      <c r="AI63" s="588"/>
      <c r="AJ63" s="588"/>
      <c r="AK63" s="588"/>
      <c r="AL63" s="588"/>
      <c r="AM63" s="588"/>
      <c r="AS63" s="50">
        <v>18</v>
      </c>
    </row>
    <row r="64" ht="29.25" customHeight="1">
      <c r="O64" s="50"/>
      <c r="S64" s="490"/>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92">
        <v>3</v>
      </c>
      <c r="R65" s="492">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D0057-006B-4282-86B7-009800D300A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660046-00A1-4622-B3DE-00FB00ED00AC}"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D0034-0094-4F41-9A3C-00EA001F005C}"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C0079-0009-4D8A-85B2-006D00210030}"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398</v>
      </c>
      <c r="AO2" s="129"/>
      <c r="AP2" s="129" t="str">
        <f t="shared" ref="AP2:AP9" si="10">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400</v>
      </c>
      <c r="AO3" s="129"/>
      <c r="AP3" s="129" t="str">
        <f t="shared" si="10"/>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401</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402</v>
      </c>
      <c r="AO4" s="129"/>
      <c r="AP4" s="129" t="str">
        <f t="shared" si="10"/>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7"/>
      <c r="S5" s="498" t="e">
        <f>INDEX(PT_DIFFERENTIATION_NUM_IST_TE,MATCH(D5,PT_DIFFERENTIATION_IST_TE_ID,0))</f>
        <v>#VALUE!</v>
      </c>
      <c r="T5" s="511" t="s">
        <v>403</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404</v>
      </c>
      <c r="AO5" s="129"/>
      <c r="AP5" s="129" t="str">
        <f t="shared" si="10"/>
        <v xml:space="preserve">Источник тепловой энергии</v>
      </c>
      <c r="AQ5" s="129"/>
      <c r="AR5" s="129"/>
      <c r="AS5" s="50">
        <v>0</v>
      </c>
    </row>
    <row r="6" ht="47.25" hidden="1" customHeight="1">
      <c r="A6" s="493"/>
      <c r="B6" s="493"/>
      <c r="C6" s="493"/>
      <c r="D6" s="493"/>
      <c r="E6" s="505"/>
      <c r="F6" s="505"/>
      <c r="G6" s="505"/>
      <c r="H6" s="505"/>
      <c r="I6" s="512" t="e">
        <f>S5&amp;".1"</f>
        <v>#VALUE!</v>
      </c>
      <c r="J6" s="493"/>
      <c r="K6" s="493"/>
      <c r="L6" s="495" t="s">
        <v>405</v>
      </c>
      <c r="M6" s="53"/>
      <c r="P6" s="132">
        <v>1</v>
      </c>
      <c r="Q6" s="132"/>
      <c r="R6" s="513"/>
      <c r="S6" s="498" t="e">
        <f>$I6</f>
        <v>#VALUE!</v>
      </c>
      <c r="T6" s="514" t="s">
        <v>406</v>
      </c>
      <c r="U6" s="500"/>
      <c r="V6" s="445"/>
      <c r="W6" s="515"/>
      <c r="X6" s="515"/>
      <c r="Y6" s="515"/>
      <c r="Z6" s="515"/>
      <c r="AA6" s="515"/>
      <c r="AB6" s="515"/>
      <c r="AC6" s="516"/>
      <c r="AD6" s="445"/>
      <c r="AE6" s="515"/>
      <c r="AF6" s="515"/>
      <c r="AG6" s="515"/>
      <c r="AH6" s="515"/>
      <c r="AI6" s="515"/>
      <c r="AJ6" s="515"/>
      <c r="AK6" s="515"/>
      <c r="AL6" s="516"/>
      <c r="AM6" s="504" t="s">
        <v>407</v>
      </c>
      <c r="AO6" s="129"/>
      <c r="AP6" s="129" t="str">
        <f t="shared" si="10"/>
        <v xml:space="preserve">Схема подключения теплопотребляющей установки к коллектору источника тепловой энергии</v>
      </c>
      <c r="AQ6" s="129"/>
      <c r="AR6" s="129"/>
      <c r="AS6" s="50">
        <v>0</v>
      </c>
    </row>
    <row r="7" ht="21" hidden="1" customHeight="1">
      <c r="A7" s="493"/>
      <c r="B7" s="493"/>
      <c r="C7" s="493"/>
      <c r="D7" s="493"/>
      <c r="E7" s="505"/>
      <c r="F7" s="505"/>
      <c r="G7" s="505"/>
      <c r="H7" s="505"/>
      <c r="I7" s="517"/>
      <c r="J7" s="512" t="e">
        <f>I6&amp;".1"</f>
        <v>#VALUE!</v>
      </c>
      <c r="K7" s="493"/>
      <c r="L7" s="495" t="s">
        <v>408</v>
      </c>
      <c r="M7" s="53"/>
      <c r="N7" s="53"/>
      <c r="P7" s="132"/>
      <c r="Q7" s="132">
        <v>1</v>
      </c>
      <c r="R7" s="518"/>
      <c r="S7" s="498" t="e">
        <f>$J7</f>
        <v>#VALUE!</v>
      </c>
      <c r="T7" s="519" t="s">
        <v>409</v>
      </c>
      <c r="U7" s="500"/>
      <c r="V7" s="445"/>
      <c r="W7" s="515"/>
      <c r="X7" s="515"/>
      <c r="Y7" s="515"/>
      <c r="Z7" s="515"/>
      <c r="AA7" s="515"/>
      <c r="AB7" s="515"/>
      <c r="AC7" s="516"/>
      <c r="AD7" s="445"/>
      <c r="AE7" s="515"/>
      <c r="AF7" s="515"/>
      <c r="AG7" s="515"/>
      <c r="AH7" s="515"/>
      <c r="AI7" s="515"/>
      <c r="AJ7" s="515"/>
      <c r="AK7" s="515"/>
      <c r="AL7" s="516"/>
      <c r="AM7" s="504" t="s">
        <v>410</v>
      </c>
      <c r="AO7" s="129"/>
      <c r="AP7" s="129" t="str">
        <f t="shared" si="10"/>
        <v xml:space="preserve">Группа потребителей</v>
      </c>
      <c r="AQ7" s="129"/>
      <c r="AR7" s="129"/>
      <c r="AS7" s="50">
        <v>0</v>
      </c>
    </row>
    <row r="8" ht="21" hidden="1" customHeight="1">
      <c r="A8" s="493"/>
      <c r="B8" s="493"/>
      <c r="C8" s="493"/>
      <c r="D8" s="493"/>
      <c r="E8" s="505"/>
      <c r="F8" s="505"/>
      <c r="G8" s="505"/>
      <c r="H8" s="505"/>
      <c r="I8" s="517"/>
      <c r="J8" s="517"/>
      <c r="K8" s="512" t="e">
        <f>J7&amp;".1"</f>
        <v>#VALUE!</v>
      </c>
      <c r="L8" s="495" t="s">
        <v>411</v>
      </c>
      <c r="M8" s="53"/>
      <c r="N8" s="53"/>
      <c r="O8" s="53"/>
      <c r="P8" s="132"/>
      <c r="Q8" s="132"/>
      <c r="R8" s="518">
        <v>1</v>
      </c>
      <c r="S8" s="498" t="e">
        <f>$K8</f>
        <v>#VALUE!</v>
      </c>
      <c r="T8" s="520"/>
      <c r="U8" s="500"/>
      <c r="V8" s="522"/>
      <c r="W8" s="521"/>
      <c r="X8" s="522"/>
      <c r="Y8" s="597"/>
      <c r="Z8" s="524"/>
      <c r="AA8" s="224" t="s">
        <v>66</v>
      </c>
      <c r="AB8" s="524"/>
      <c r="AC8" s="224" t="s">
        <v>66</v>
      </c>
      <c r="AD8" s="522"/>
      <c r="AE8" s="521"/>
      <c r="AF8" s="522"/>
      <c r="AG8" s="597"/>
      <c r="AH8" s="524"/>
      <c r="AI8" s="224" t="s">
        <v>66</v>
      </c>
      <c r="AJ8" s="524"/>
      <c r="AK8" s="224" t="s">
        <v>66</v>
      </c>
      <c r="AL8" s="522"/>
      <c r="AM8" s="525" t="s">
        <v>412</v>
      </c>
      <c r="AN8" s="57" t="e">
        <f>STRCHECKDATE(V9:AL9)</f>
        <v>#NAME?</v>
      </c>
      <c r="AO8" s="129"/>
      <c r="AP8" s="129" t="str">
        <f t="shared" si="10"/>
        <v/>
      </c>
      <c r="AQ8" s="129"/>
      <c r="AR8" s="129"/>
      <c r="AS8" s="50">
        <v>0</v>
      </c>
    </row>
    <row r="9" ht="0.7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10"/>
        <v/>
      </c>
      <c r="AQ9" s="129"/>
      <c r="AR9" s="129"/>
      <c r="AS9" s="50">
        <v>0</v>
      </c>
    </row>
    <row r="10" ht="15" hidden="1" customHeight="1">
      <c r="A10" s="493"/>
      <c r="B10" s="493"/>
      <c r="C10" s="493"/>
      <c r="D10" s="493"/>
      <c r="E10" s="505"/>
      <c r="F10" s="505"/>
      <c r="G10" s="505"/>
      <c r="H10" s="505"/>
      <c r="I10" s="517"/>
      <c r="J10" s="512"/>
      <c r="K10" s="493"/>
      <c r="L10" s="495"/>
      <c r="M10" s="53"/>
      <c r="N10" s="53"/>
      <c r="P10" s="132"/>
      <c r="Q10" s="132"/>
      <c r="R10" s="513"/>
      <c r="S10" s="529"/>
      <c r="T10" s="530" t="s">
        <v>413</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11">IF(T10="","",T10)</f>
        <v xml:space="preserve">Добавить вид теплоносителя (параметры теплоносителя)</v>
      </c>
      <c r="AQ10" s="129"/>
      <c r="AR10" s="129"/>
      <c r="AS10" s="50">
        <v>0</v>
      </c>
    </row>
    <row r="11" ht="15" hidden="1" customHeight="1">
      <c r="A11" s="493"/>
      <c r="B11" s="493"/>
      <c r="C11" s="493"/>
      <c r="D11" s="493"/>
      <c r="E11" s="505"/>
      <c r="F11" s="505"/>
      <c r="G11" s="505"/>
      <c r="H11" s="505"/>
      <c r="I11" s="512"/>
      <c r="J11" s="493"/>
      <c r="K11" s="493"/>
      <c r="L11" s="495"/>
      <c r="M11" s="53"/>
      <c r="P11" s="132"/>
      <c r="Q11" s="132"/>
      <c r="R11" s="513"/>
      <c r="S11" s="529"/>
      <c r="T11" s="533" t="s">
        <v>414</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11"/>
        <v xml:space="preserve">Добавить группу потребителей</v>
      </c>
      <c r="AQ11" s="129"/>
      <c r="AR11" s="129"/>
      <c r="AS11" s="50">
        <v>0</v>
      </c>
    </row>
    <row r="12" ht="14.25" hidden="1" customHeight="1">
      <c r="A12" s="493"/>
      <c r="B12" s="493"/>
      <c r="C12" s="493"/>
      <c r="D12" s="493"/>
      <c r="E12" s="505"/>
      <c r="F12" s="505"/>
      <c r="G12" s="505"/>
      <c r="H12" s="494"/>
      <c r="I12" s="493"/>
      <c r="J12" s="493"/>
      <c r="K12" s="493"/>
      <c r="L12" s="495"/>
      <c r="M12" s="496"/>
      <c r="N12" s="496"/>
      <c r="O12" s="53"/>
      <c r="P12" s="143"/>
      <c r="Q12" s="536"/>
      <c r="R12" s="497"/>
      <c r="S12" s="529"/>
      <c r="T12" s="537" t="s">
        <v>415</v>
      </c>
      <c r="U12" s="214"/>
      <c r="V12" s="214"/>
      <c r="W12" s="214"/>
      <c r="X12" s="214"/>
      <c r="Y12" s="214"/>
      <c r="Z12" s="214"/>
      <c r="AA12" s="214"/>
      <c r="AB12" s="214"/>
      <c r="AC12" s="534"/>
      <c r="AD12" s="214"/>
      <c r="AE12" s="214"/>
      <c r="AF12" s="214"/>
      <c r="AG12" s="214"/>
      <c r="AH12" s="214"/>
      <c r="AI12" s="214"/>
      <c r="AJ12" s="214"/>
      <c r="AK12" s="534"/>
      <c r="AL12" s="214"/>
      <c r="AM12" s="535"/>
      <c r="AO12" s="129"/>
      <c r="AP12" s="129" t="str">
        <f t="shared" si="11"/>
        <v xml:space="preserve">Добавить схему подключения</v>
      </c>
      <c r="AQ12" s="129"/>
      <c r="AR12" s="129"/>
      <c r="AS12" s="50">
        <v>0</v>
      </c>
    </row>
    <row r="13" s="57" customFormat="1" ht="0.75" hidden="1" customHeight="1">
      <c r="A13" s="133"/>
      <c r="B13" s="133"/>
      <c r="C13" s="133"/>
      <c r="D13" s="133"/>
      <c r="E13" s="505"/>
      <c r="F13" s="505"/>
      <c r="G13" s="494"/>
      <c r="H13" s="133"/>
      <c r="I13" s="133"/>
      <c r="J13" s="133"/>
      <c r="K13" s="133"/>
      <c r="L13" s="212"/>
      <c r="M13" s="478"/>
      <c r="N13" s="478"/>
      <c r="P13" s="167"/>
      <c r="Q13" s="538"/>
      <c r="R13" s="167"/>
      <c r="S13" s="539"/>
      <c r="T13" s="540" t="s">
        <v>416</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11"/>
        <v xml:space="preserve">Добавить источник для дифференциации</v>
      </c>
      <c r="AQ13" s="129"/>
      <c r="AR13" s="129"/>
      <c r="AS13" s="57">
        <v>0</v>
      </c>
    </row>
    <row r="14" s="57" customFormat="1" ht="0.75" hidden="1" customHeight="1">
      <c r="A14" s="133"/>
      <c r="B14" s="133"/>
      <c r="C14" s="133"/>
      <c r="D14" s="133"/>
      <c r="E14" s="505"/>
      <c r="F14" s="494"/>
      <c r="G14" s="133"/>
      <c r="H14" s="133"/>
      <c r="I14" s="133"/>
      <c r="J14" s="133"/>
      <c r="K14" s="133"/>
      <c r="L14" s="212"/>
      <c r="M14" s="542"/>
      <c r="N14" s="542"/>
      <c r="P14" s="167"/>
      <c r="Q14" s="538"/>
      <c r="R14" s="167"/>
      <c r="S14" s="543"/>
      <c r="T14" s="544" t="s">
        <v>238</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11"/>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94"/>
      <c r="F15" s="133"/>
      <c r="G15" s="133"/>
      <c r="H15" s="133"/>
      <c r="I15" s="133"/>
      <c r="J15" s="133"/>
      <c r="K15" s="133"/>
      <c r="L15" s="212"/>
      <c r="M15" s="542"/>
      <c r="N15" s="542"/>
      <c r="P15" s="167"/>
      <c r="Q15" s="538"/>
      <c r="R15" s="167"/>
      <c r="S15" s="543"/>
      <c r="T15" s="546" t="s">
        <v>239</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11"/>
        <v xml:space="preserve">Добавить территорию для дифференциации</v>
      </c>
      <c r="AQ15" s="129"/>
      <c r="AR15" s="129"/>
      <c r="AS15" s="57">
        <v>0</v>
      </c>
    </row>
    <row r="16" ht="14.25" hidden="1" customHeight="1">
      <c r="AC16" s="50"/>
      <c r="AK16" s="50"/>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K19" s="50"/>
      <c r="AS19" s="50">
        <v>0</v>
      </c>
    </row>
    <row r="20" s="53" customFormat="1" ht="22.5" hidden="1" customHeight="1">
      <c r="L20" s="113"/>
      <c r="M20" s="61"/>
      <c r="N20" s="61"/>
      <c r="O20" s="551" t="s">
        <v>417</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33.75" hidden="1" customHeight="1">
      <c r="L22" s="113"/>
      <c r="M22" s="61"/>
      <c r="N22" s="61"/>
      <c r="O22" s="495" t="s">
        <v>418</v>
      </c>
      <c r="P22" s="61"/>
      <c r="Q22" s="552"/>
      <c r="R22" s="552"/>
      <c r="S22" s="496"/>
      <c r="T22" s="53" t="s">
        <v>419</v>
      </c>
      <c r="AA22" s="151" t="s">
        <v>420</v>
      </c>
      <c r="AC22" s="151" t="s">
        <v>421</v>
      </c>
      <c r="AD22" s="53" t="s">
        <v>419</v>
      </c>
      <c r="AI22" s="151" t="s">
        <v>422</v>
      </c>
      <c r="AK22" s="151" t="s">
        <v>421</v>
      </c>
      <c r="AN22" s="57"/>
      <c r="AO22" s="57"/>
      <c r="AP22" s="57"/>
      <c r="AQ22" s="57"/>
      <c r="AR22" s="57"/>
      <c r="AS22" s="53">
        <v>0</v>
      </c>
    </row>
    <row r="23" ht="14.25" hidden="1" customHeight="1">
      <c r="O23" s="495"/>
      <c r="AS23" s="50">
        <v>0</v>
      </c>
    </row>
    <row r="24" ht="14.25" hidden="1" customHeight="1">
      <c r="O24" s="495"/>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29.25" customHeight="1">
      <c r="Q26" s="553"/>
      <c r="R26" s="553"/>
      <c r="S26" s="466"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6"/>
      <c r="U26" s="466"/>
      <c r="V26" s="466"/>
      <c r="W26" s="466"/>
      <c r="X26" s="466"/>
      <c r="Y26" s="466"/>
      <c r="Z26" s="466"/>
      <c r="AA26" s="466"/>
      <c r="AB26" s="466"/>
      <c r="AC26" s="466"/>
      <c r="AD26" s="466"/>
      <c r="AE26" s="466"/>
      <c r="AF26" s="466"/>
      <c r="AG26" s="466"/>
      <c r="AH26" s="466"/>
      <c r="AI26" s="466"/>
      <c r="AJ26" s="466"/>
      <c r="AK26" s="240"/>
      <c r="AS26" s="50">
        <v>28</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423</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424</v>
      </c>
      <c r="T31" s="556"/>
      <c r="U31" s="557"/>
      <c r="V31" s="558" t="str">
        <f>IF(TITLE_NUMBER_PR_CHANGE="",IF(TITLE_NUMBER_PR="","",TITLE_NUMBER_PR),TITLE_NUMBER_PR_CHANGE)</f>
        <v>ПГ/01/950</v>
      </c>
      <c r="W31" s="558"/>
      <c r="X31" s="558"/>
      <c r="Y31" s="558"/>
      <c r="Z31" s="558"/>
      <c r="AA31" s="558"/>
      <c r="AB31" s="558"/>
      <c r="AC31" s="50"/>
      <c r="AD31" s="558" t="str">
        <f>IF(TITLE_NUMBER_PR_CHANGE="",IF(TITLE_NUMBER_PR="","",TITLE_NUMBER_PR),TITLE_NUMBER_PR_CHANGE)</f>
        <v>ПГ/01/950</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425</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customHeight="1">
      <c r="A35" s="151"/>
      <c r="B35" s="151"/>
      <c r="C35" s="151"/>
      <c r="D35" s="151"/>
      <c r="E35" s="151"/>
      <c r="F35" s="151"/>
      <c r="G35" s="151"/>
      <c r="H35" s="151"/>
      <c r="I35" s="151"/>
      <c r="J35" s="151"/>
      <c r="K35" s="151"/>
      <c r="L35" s="495"/>
      <c r="M35" s="151"/>
      <c r="N35" s="151"/>
      <c r="O35" s="151"/>
      <c r="S35" s="556" t="s">
        <v>426</v>
      </c>
      <c r="T35" s="556"/>
      <c r="U35" s="557"/>
      <c r="V35" s="558" t="str">
        <f>IF(TITLE_NUMBER_PR_CHANGE="",IF(TITLE_NUMBER_PR="","",TITLE_NUMBER_PR),TITLE_NUMBER_PR_CHANGE)</f>
        <v>ПГ/01/950</v>
      </c>
      <c r="W35" s="558"/>
      <c r="X35" s="558"/>
      <c r="Y35" s="558"/>
      <c r="Z35" s="558"/>
      <c r="AA35" s="558"/>
      <c r="AB35" s="558"/>
      <c r="AC35" s="50"/>
      <c r="AD35" s="558" t="str">
        <f>IF(TITLE_NUMBER_PR_CHANGE="",IF(TITLE_NUMBER_PR="","",TITLE_NUMBER_PR),TITLE_NUMBER_PR_CHANGE)</f>
        <v>ПГ/01/950</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427</v>
      </c>
      <c r="AD36" s="50"/>
      <c r="AE36" s="50"/>
      <c r="AF36" s="50"/>
      <c r="AG36" s="50"/>
      <c r="AH36" s="50"/>
      <c r="AI36" s="50"/>
      <c r="AJ36" s="50"/>
      <c r="AK36" s="57" t="s">
        <v>427</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302</v>
      </c>
      <c r="T38" s="157"/>
      <c r="U38" s="157"/>
      <c r="V38" s="157"/>
      <c r="W38" s="157"/>
      <c r="X38" s="157"/>
      <c r="Y38" s="157"/>
      <c r="Z38" s="157"/>
      <c r="AA38" s="157"/>
      <c r="AB38" s="157"/>
      <c r="AC38" s="157"/>
      <c r="AD38" s="157"/>
      <c r="AE38" s="157"/>
      <c r="AF38" s="157"/>
      <c r="AG38" s="157"/>
      <c r="AH38" s="157"/>
      <c r="AI38" s="157"/>
      <c r="AJ38" s="157"/>
      <c r="AK38" s="157"/>
      <c r="AL38" s="157"/>
      <c r="AM38" s="157" t="s">
        <v>303</v>
      </c>
      <c r="AS38" s="50">
        <v>14</v>
      </c>
    </row>
    <row r="39" ht="14.65" customHeight="1">
      <c r="Q39" s="553"/>
      <c r="R39" s="553"/>
      <c r="S39" s="498" t="s">
        <v>88</v>
      </c>
      <c r="T39" s="362" t="s">
        <v>428</v>
      </c>
      <c r="U39" s="563"/>
      <c r="V39" s="564" t="s">
        <v>429</v>
      </c>
      <c r="W39" s="565"/>
      <c r="X39" s="598"/>
      <c r="Y39" s="598"/>
      <c r="Z39" s="565"/>
      <c r="AA39" s="565"/>
      <c r="AB39" s="566"/>
      <c r="AC39" s="567" t="s">
        <v>430</v>
      </c>
      <c r="AD39" s="564" t="s">
        <v>429</v>
      </c>
      <c r="AE39" s="565"/>
      <c r="AF39" s="598"/>
      <c r="AG39" s="598"/>
      <c r="AH39" s="565"/>
      <c r="AI39" s="565"/>
      <c r="AJ39" s="566"/>
      <c r="AK39" s="567" t="s">
        <v>431</v>
      </c>
      <c r="AL39" s="568" t="s">
        <v>432</v>
      </c>
      <c r="AM39" s="157"/>
      <c r="AS39" s="50">
        <v>14</v>
      </c>
    </row>
    <row r="40" ht="24" customHeight="1">
      <c r="Q40" s="553"/>
      <c r="R40" s="553"/>
      <c r="S40" s="498"/>
      <c r="T40" s="362"/>
      <c r="U40" s="569"/>
      <c r="V40" s="599" t="s">
        <v>433</v>
      </c>
      <c r="W40" s="321" t="s">
        <v>434</v>
      </c>
      <c r="X40" s="365" t="s">
        <v>435</v>
      </c>
      <c r="Y40" s="365"/>
      <c r="Z40" s="145" t="s">
        <v>436</v>
      </c>
      <c r="AA40" s="145"/>
      <c r="AB40" s="72"/>
      <c r="AC40" s="571"/>
      <c r="AD40" s="599" t="s">
        <v>433</v>
      </c>
      <c r="AE40" s="321" t="s">
        <v>434</v>
      </c>
      <c r="AF40" s="365" t="s">
        <v>435</v>
      </c>
      <c r="AG40" s="365"/>
      <c r="AH40" s="145" t="s">
        <v>436</v>
      </c>
      <c r="AI40" s="145"/>
      <c r="AJ40" s="72"/>
      <c r="AK40" s="571"/>
      <c r="AL40" s="572"/>
      <c r="AM40" s="157"/>
      <c r="AS40" s="50">
        <v>23</v>
      </c>
    </row>
    <row r="41" s="106" customFormat="1" ht="24" customHeight="1">
      <c r="A41" s="151"/>
      <c r="B41" s="151" t="s">
        <v>135</v>
      </c>
      <c r="C41" s="151" t="s">
        <v>136</v>
      </c>
      <c r="D41" s="151" t="s">
        <v>137</v>
      </c>
      <c r="E41" s="495" t="s">
        <v>437</v>
      </c>
      <c r="F41" s="495" t="s">
        <v>438</v>
      </c>
      <c r="G41" s="495" t="s">
        <v>439</v>
      </c>
      <c r="H41" s="495" t="s">
        <v>440</v>
      </c>
      <c r="I41" s="495" t="s">
        <v>441</v>
      </c>
      <c r="J41" s="495" t="s">
        <v>442</v>
      </c>
      <c r="K41" s="495" t="s">
        <v>443</v>
      </c>
      <c r="L41" s="495" t="s">
        <v>418</v>
      </c>
      <c r="M41" s="61"/>
      <c r="N41" s="61"/>
      <c r="O41" s="61"/>
      <c r="P41" s="60"/>
      <c r="Q41" s="553"/>
      <c r="R41" s="553"/>
      <c r="S41" s="498"/>
      <c r="T41" s="362"/>
      <c r="U41" s="573"/>
      <c r="V41" s="163"/>
      <c r="W41" s="327"/>
      <c r="X41" s="158" t="s">
        <v>444</v>
      </c>
      <c r="Y41" s="158" t="s">
        <v>445</v>
      </c>
      <c r="Z41" s="431" t="s">
        <v>446</v>
      </c>
      <c r="AA41" s="429" t="s">
        <v>447</v>
      </c>
      <c r="AB41" s="431"/>
      <c r="AC41" s="575"/>
      <c r="AD41" s="163"/>
      <c r="AE41" s="327"/>
      <c r="AF41" s="158" t="s">
        <v>444</v>
      </c>
      <c r="AG41" s="158" t="s">
        <v>445</v>
      </c>
      <c r="AH41" s="431" t="s">
        <v>446</v>
      </c>
      <c r="AI41" s="429" t="s">
        <v>447</v>
      </c>
      <c r="AJ41" s="431"/>
      <c r="AK41" s="575"/>
      <c r="AL41" s="576"/>
      <c r="AM41" s="157"/>
      <c r="AN41" s="57"/>
      <c r="AO41" s="129"/>
      <c r="AP41" s="129"/>
      <c r="AQ41" s="129"/>
      <c r="AR41" s="129"/>
      <c r="AS41" s="106">
        <v>23</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440">
        <f ca="1">OFFSET(X42,0,-1)+1</f>
        <v>1</v>
      </c>
      <c r="Y42" s="440">
        <f ca="1">OFFSET(Y42,0,-1)+1</f>
        <v>2</v>
      </c>
      <c r="Z42" s="583">
        <f ca="1">OFFSET(Z42,0,-1)+1</f>
        <v>3</v>
      </c>
      <c r="AA42" s="583">
        <f ca="1">OFFSET(AA42,0,-1)+1</f>
        <v>4</v>
      </c>
      <c r="AB42" s="583"/>
      <c r="AC42" s="583">
        <f ca="1">OFFSET(AC42,0,-2)+1</f>
        <v>5</v>
      </c>
      <c r="AD42" s="583">
        <f ca="1">OFFSET(AD42,0,-1)+1</f>
        <v>6</v>
      </c>
      <c r="AE42" s="583"/>
      <c r="AF42" s="440">
        <f ca="1">OFFSET(AF42,0,-1)+1</f>
        <v>1</v>
      </c>
      <c r="AG42" s="440">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493" t="s">
        <v>191</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1"/>
        <v xml:space="preserve">Наименование тарифа</v>
      </c>
      <c r="AQ43" s="129"/>
      <c r="AR43" s="129"/>
      <c r="AS43" s="50">
        <v>21</v>
      </c>
    </row>
    <row r="44" ht="22" customHeight="1">
      <c r="A44" s="493" t="s">
        <v>191</v>
      </c>
      <c r="B44" s="493" t="s">
        <v>192</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399</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400</v>
      </c>
      <c r="AO44" s="129"/>
      <c r="AP44" s="129" t="str">
        <f t="shared" si="11"/>
        <v xml:space="preserve">Территория действия тарифа</v>
      </c>
      <c r="AQ44" s="129"/>
      <c r="AR44" s="129"/>
      <c r="AS44" s="50">
        <v>21</v>
      </c>
    </row>
    <row r="45" ht="24" customHeight="1">
      <c r="A45" s="493" t="s">
        <v>191</v>
      </c>
      <c r="B45" s="493" t="s">
        <v>192</v>
      </c>
      <c r="C45" s="493" t="s">
        <v>193</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401</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402</v>
      </c>
      <c r="AO45" s="129"/>
      <c r="AP45" s="129" t="str">
        <f t="shared" si="11"/>
        <v xml:space="preserve">Наименование системы теплоснабжения</v>
      </c>
      <c r="AQ45" s="129"/>
      <c r="AR45" s="129"/>
      <c r="AS45" s="50">
        <v>23</v>
      </c>
    </row>
    <row r="46" ht="22" customHeight="1">
      <c r="A46" s="493" t="s">
        <v>191</v>
      </c>
      <c r="B46" s="493" t="s">
        <v>192</v>
      </c>
      <c r="C46" s="493" t="s">
        <v>193</v>
      </c>
      <c r="D46" s="493" t="s">
        <v>194</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403</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404</v>
      </c>
      <c r="AO46" s="129"/>
      <c r="AP46" s="129" t="str">
        <f t="shared" si="11"/>
        <v xml:space="preserve">Источник тепловой энергии</v>
      </c>
      <c r="AQ46" s="129"/>
      <c r="AR46" s="129"/>
      <c r="AS46" s="50">
        <v>21</v>
      </c>
    </row>
    <row r="47" ht="49.5" customHeight="1">
      <c r="A47" s="493" t="s">
        <v>191</v>
      </c>
      <c r="B47" s="493" t="s">
        <v>192</v>
      </c>
      <c r="C47" s="493" t="s">
        <v>193</v>
      </c>
      <c r="D47" s="493" t="s">
        <v>194</v>
      </c>
      <c r="E47" s="505"/>
      <c r="F47" s="505"/>
      <c r="G47" s="505"/>
      <c r="H47" s="505"/>
      <c r="I47" s="512" t="str">
        <f>S46&amp;".1"</f>
        <v>....1</v>
      </c>
      <c r="J47" s="493"/>
      <c r="K47" s="493"/>
      <c r="L47" s="495" t="s">
        <v>405</v>
      </c>
      <c r="P47" s="132">
        <v>1</v>
      </c>
      <c r="Q47" s="132"/>
      <c r="R47" s="513"/>
      <c r="S47" s="498" t="str">
        <f>$I47</f>
        <v>....1</v>
      </c>
      <c r="T47" s="514" t="s">
        <v>406</v>
      </c>
      <c r="U47" s="500"/>
      <c r="V47" s="445"/>
      <c r="W47" s="515"/>
      <c r="X47" s="515"/>
      <c r="Y47" s="515"/>
      <c r="Z47" s="515"/>
      <c r="AA47" s="515"/>
      <c r="AB47" s="515"/>
      <c r="AC47" s="516"/>
      <c r="AD47" s="445"/>
      <c r="AE47" s="515"/>
      <c r="AF47" s="515"/>
      <c r="AG47" s="515"/>
      <c r="AH47" s="515"/>
      <c r="AI47" s="515"/>
      <c r="AJ47" s="515"/>
      <c r="AK47" s="515"/>
      <c r="AL47" s="516"/>
      <c r="AM47" s="504" t="s">
        <v>407</v>
      </c>
      <c r="AO47" s="129"/>
      <c r="AP47" s="129" t="str">
        <f t="shared" si="11"/>
        <v xml:space="preserve">Схема подключения теплопотребляющей установки к коллектору источника тепловой энергии</v>
      </c>
      <c r="AQ47" s="129"/>
      <c r="AR47" s="129"/>
      <c r="AS47" s="50">
        <v>47</v>
      </c>
    </row>
    <row r="48" ht="22" customHeight="1">
      <c r="A48" s="493" t="s">
        <v>191</v>
      </c>
      <c r="B48" s="493" t="s">
        <v>192</v>
      </c>
      <c r="C48" s="493" t="s">
        <v>193</v>
      </c>
      <c r="D48" s="493" t="s">
        <v>194</v>
      </c>
      <c r="E48" s="505"/>
      <c r="F48" s="505"/>
      <c r="G48" s="505"/>
      <c r="H48" s="505"/>
      <c r="I48" s="517"/>
      <c r="J48" s="512" t="str">
        <f>I47&amp;".1"</f>
        <v>....1.1</v>
      </c>
      <c r="K48" s="493"/>
      <c r="L48" s="495" t="s">
        <v>408</v>
      </c>
      <c r="P48" s="132"/>
      <c r="Q48" s="132">
        <v>1</v>
      </c>
      <c r="R48" s="518"/>
      <c r="S48" s="498" t="str">
        <f>$J48</f>
        <v>....1.1</v>
      </c>
      <c r="T48" s="519" t="s">
        <v>409</v>
      </c>
      <c r="U48" s="500"/>
      <c r="V48" s="445"/>
      <c r="W48" s="515"/>
      <c r="X48" s="515"/>
      <c r="Y48" s="515"/>
      <c r="Z48" s="515"/>
      <c r="AA48" s="515"/>
      <c r="AB48" s="515"/>
      <c r="AC48" s="516"/>
      <c r="AD48" s="445"/>
      <c r="AE48" s="515"/>
      <c r="AF48" s="515"/>
      <c r="AG48" s="515"/>
      <c r="AH48" s="515"/>
      <c r="AI48" s="515"/>
      <c r="AJ48" s="515"/>
      <c r="AK48" s="515"/>
      <c r="AL48" s="516"/>
      <c r="AM48" s="504" t="s">
        <v>410</v>
      </c>
      <c r="AO48" s="129"/>
      <c r="AP48" s="129" t="str">
        <f t="shared" si="11"/>
        <v xml:space="preserve">Группа потребителей</v>
      </c>
      <c r="AQ48" s="129"/>
      <c r="AR48" s="129"/>
      <c r="AS48" s="50">
        <v>21</v>
      </c>
    </row>
    <row r="49" ht="22" customHeight="1">
      <c r="A49" s="493" t="s">
        <v>191</v>
      </c>
      <c r="B49" s="493" t="s">
        <v>192</v>
      </c>
      <c r="C49" s="493" t="s">
        <v>193</v>
      </c>
      <c r="D49" s="493" t="s">
        <v>194</v>
      </c>
      <c r="E49" s="505"/>
      <c r="F49" s="505"/>
      <c r="G49" s="505"/>
      <c r="H49" s="505"/>
      <c r="I49" s="517"/>
      <c r="J49" s="517"/>
      <c r="K49" s="512" t="str">
        <f>J48&amp;".1"</f>
        <v>....1.1.1</v>
      </c>
      <c r="L49" s="495" t="s">
        <v>411</v>
      </c>
      <c r="P49" s="132"/>
      <c r="Q49" s="132"/>
      <c r="R49" s="518">
        <v>1</v>
      </c>
      <c r="S49" s="498" t="str">
        <f>$K49</f>
        <v>....1.1.1</v>
      </c>
      <c r="T49" s="520"/>
      <c r="U49" s="500"/>
      <c r="V49" s="522"/>
      <c r="W49" s="521"/>
      <c r="X49" s="522"/>
      <c r="Y49" s="597"/>
      <c r="Z49" s="524"/>
      <c r="AA49" s="224" t="s">
        <v>66</v>
      </c>
      <c r="AB49" s="524"/>
      <c r="AC49" s="224" t="s">
        <v>66</v>
      </c>
      <c r="AD49" s="522"/>
      <c r="AE49" s="521"/>
      <c r="AF49" s="522"/>
      <c r="AG49" s="597"/>
      <c r="AH49" s="524"/>
      <c r="AI49" s="224" t="s">
        <v>66</v>
      </c>
      <c r="AJ49" s="584"/>
      <c r="AK49" s="224" t="s">
        <v>66</v>
      </c>
      <c r="AL49" s="585"/>
      <c r="AM49" s="525" t="s">
        <v>412</v>
      </c>
      <c r="AN49" s="57" t="e">
        <f>STRCHECKDATE(V50:AL50)</f>
        <v>#NAME?</v>
      </c>
      <c r="AO49" s="129"/>
      <c r="AP49" s="129" t="str">
        <f t="shared" si="11"/>
        <v/>
      </c>
      <c r="AQ49" s="129"/>
      <c r="AR49" s="129"/>
      <c r="AS49" s="50">
        <v>21</v>
      </c>
    </row>
    <row r="50" ht="1.05" customHeight="1">
      <c r="A50" s="493" t="s">
        <v>191</v>
      </c>
      <c r="B50" s="493" t="s">
        <v>192</v>
      </c>
      <c r="C50" s="493" t="s">
        <v>193</v>
      </c>
      <c r="D50" s="493" t="s">
        <v>194</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11"/>
        <v/>
      </c>
      <c r="AQ50" s="129"/>
      <c r="AR50" s="129"/>
      <c r="AS50" s="50">
        <v>1</v>
      </c>
    </row>
    <row r="51" ht="11.5" customHeight="1">
      <c r="A51" s="493" t="s">
        <v>191</v>
      </c>
      <c r="B51" s="493" t="s">
        <v>192</v>
      </c>
      <c r="C51" s="493" t="s">
        <v>193</v>
      </c>
      <c r="D51" s="493" t="s">
        <v>194</v>
      </c>
      <c r="E51" s="505"/>
      <c r="F51" s="505"/>
      <c r="G51" s="505"/>
      <c r="H51" s="505"/>
      <c r="I51" s="517"/>
      <c r="J51" s="512"/>
      <c r="K51" s="493"/>
      <c r="L51" s="495"/>
      <c r="P51" s="132"/>
      <c r="Q51" s="132"/>
      <c r="R51" s="513"/>
      <c r="S51" s="529"/>
      <c r="T51" s="530" t="s">
        <v>413</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11"/>
        <v xml:space="preserve">Добавить вид теплоносителя (параметры теплоносителя)</v>
      </c>
      <c r="AQ51" s="129"/>
      <c r="AR51" s="129"/>
      <c r="AS51" s="50">
        <v>11</v>
      </c>
    </row>
    <row r="52" ht="11.5" customHeight="1">
      <c r="A52" s="493" t="s">
        <v>191</v>
      </c>
      <c r="B52" s="493" t="s">
        <v>192</v>
      </c>
      <c r="C52" s="493" t="s">
        <v>193</v>
      </c>
      <c r="D52" s="493" t="s">
        <v>194</v>
      </c>
      <c r="E52" s="505"/>
      <c r="F52" s="505"/>
      <c r="G52" s="505"/>
      <c r="H52" s="505"/>
      <c r="I52" s="512"/>
      <c r="J52" s="493"/>
      <c r="K52" s="493"/>
      <c r="L52" s="495"/>
      <c r="P52" s="132"/>
      <c r="Q52" s="132"/>
      <c r="R52" s="513"/>
      <c r="S52" s="529"/>
      <c r="T52" s="533" t="s">
        <v>414</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11"/>
        <v xml:space="preserve">Добавить группу потребителей</v>
      </c>
      <c r="AQ52" s="129"/>
      <c r="AR52" s="129"/>
      <c r="AS52" s="50">
        <v>11</v>
      </c>
    </row>
    <row r="53" ht="14.65" customHeight="1">
      <c r="A53" s="493" t="s">
        <v>191</v>
      </c>
      <c r="B53" s="493" t="s">
        <v>192</v>
      </c>
      <c r="C53" s="493" t="s">
        <v>193</v>
      </c>
      <c r="D53" s="493" t="s">
        <v>194</v>
      </c>
      <c r="E53" s="505"/>
      <c r="F53" s="505"/>
      <c r="G53" s="505"/>
      <c r="H53" s="494"/>
      <c r="I53" s="493"/>
      <c r="J53" s="493"/>
      <c r="K53" s="493"/>
      <c r="L53" s="495"/>
      <c r="M53" s="496"/>
      <c r="N53" s="496"/>
      <c r="O53" s="53"/>
      <c r="P53" s="143"/>
      <c r="Q53" s="536"/>
      <c r="R53" s="497"/>
      <c r="S53" s="529"/>
      <c r="T53" s="537" t="s">
        <v>415</v>
      </c>
      <c r="U53" s="214"/>
      <c r="V53" s="214"/>
      <c r="W53" s="214"/>
      <c r="X53" s="214"/>
      <c r="Y53" s="214"/>
      <c r="Z53" s="214"/>
      <c r="AA53" s="214"/>
      <c r="AB53" s="214"/>
      <c r="AC53" s="534"/>
      <c r="AD53" s="214"/>
      <c r="AE53" s="214"/>
      <c r="AF53" s="214"/>
      <c r="AG53" s="214"/>
      <c r="AH53" s="214"/>
      <c r="AI53" s="214"/>
      <c r="AJ53" s="214"/>
      <c r="AK53" s="534"/>
      <c r="AL53" s="214"/>
      <c r="AM53" s="535"/>
      <c r="AO53" s="129"/>
      <c r="AP53" s="129" t="str">
        <f t="shared" si="11"/>
        <v xml:space="preserve">Добавить схему подключения</v>
      </c>
      <c r="AQ53" s="129"/>
      <c r="AR53" s="129"/>
      <c r="AS53" s="50">
        <v>14</v>
      </c>
    </row>
    <row r="54" s="57" customFormat="1" ht="1.05" customHeight="1">
      <c r="A54" s="133" t="s">
        <v>191</v>
      </c>
      <c r="B54" s="133" t="s">
        <v>192</v>
      </c>
      <c r="C54" s="133" t="s">
        <v>193</v>
      </c>
      <c r="D54" s="133"/>
      <c r="E54" s="505"/>
      <c r="F54" s="505"/>
      <c r="G54" s="494"/>
      <c r="H54" s="133"/>
      <c r="I54" s="133"/>
      <c r="J54" s="133"/>
      <c r="K54" s="133"/>
      <c r="L54" s="212"/>
      <c r="M54" s="478"/>
      <c r="N54" s="478"/>
      <c r="P54" s="167"/>
      <c r="Q54" s="538"/>
      <c r="R54" s="167"/>
      <c r="S54" s="543"/>
      <c r="T54" s="546" t="s">
        <v>416</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11"/>
        <v xml:space="preserve">Добавить источник для дифференциации</v>
      </c>
      <c r="AQ54" s="129"/>
      <c r="AR54" s="129"/>
      <c r="AS54" s="57">
        <v>1</v>
      </c>
    </row>
    <row r="55" s="57" customFormat="1" ht="1.05" customHeight="1">
      <c r="A55" s="133" t="s">
        <v>191</v>
      </c>
      <c r="B55" s="133" t="s">
        <v>192</v>
      </c>
      <c r="C55" s="133"/>
      <c r="D55" s="133"/>
      <c r="E55" s="505"/>
      <c r="F55" s="494"/>
      <c r="G55" s="133"/>
      <c r="H55" s="133"/>
      <c r="I55" s="133"/>
      <c r="J55" s="133"/>
      <c r="K55" s="133"/>
      <c r="L55" s="212"/>
      <c r="M55" s="542"/>
      <c r="N55" s="542"/>
      <c r="P55" s="167"/>
      <c r="Q55" s="538"/>
      <c r="R55" s="167"/>
      <c r="S55" s="543"/>
      <c r="T55" s="546" t="s">
        <v>238</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11"/>
        <v xml:space="preserve">Добавить централизованную систему для дифференциации</v>
      </c>
      <c r="AQ55" s="129"/>
      <c r="AR55" s="129"/>
      <c r="AS55" s="57">
        <v>1</v>
      </c>
    </row>
    <row r="56" s="57" customFormat="1" ht="1.05" customHeight="1">
      <c r="A56" s="133" t="s">
        <v>191</v>
      </c>
      <c r="B56" s="133"/>
      <c r="C56" s="133"/>
      <c r="D56" s="133"/>
      <c r="E56" s="494"/>
      <c r="F56" s="133"/>
      <c r="G56" s="133"/>
      <c r="H56" s="133"/>
      <c r="I56" s="133"/>
      <c r="J56" s="133"/>
      <c r="K56" s="133"/>
      <c r="L56" s="212"/>
      <c r="M56" s="542"/>
      <c r="N56" s="542"/>
      <c r="O56" s="57"/>
      <c r="P56" s="167"/>
      <c r="Q56" s="538"/>
      <c r="R56" s="167"/>
      <c r="S56" s="543"/>
      <c r="T56" s="546" t="s">
        <v>239</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11"/>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42"/>
      <c r="N57" s="542"/>
      <c r="P57" s="167"/>
      <c r="Q57" s="538"/>
      <c r="R57" s="167"/>
      <c r="S57" s="543"/>
      <c r="T57" s="546" t="s">
        <v>240</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11"/>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27</v>
      </c>
    </row>
    <row r="60" ht="78.75" customHeight="1">
      <c r="O60" s="53"/>
      <c r="T60" s="588"/>
      <c r="U60" s="588"/>
      <c r="V60" s="588"/>
      <c r="W60" s="588"/>
      <c r="X60" s="588"/>
      <c r="Y60" s="588"/>
      <c r="Z60" s="588"/>
      <c r="AA60" s="588"/>
      <c r="AB60" s="588"/>
      <c r="AC60" s="588"/>
      <c r="AD60" s="588"/>
      <c r="AE60" s="588"/>
      <c r="AF60" s="588"/>
      <c r="AG60" s="588"/>
      <c r="AH60" s="588"/>
      <c r="AI60" s="588"/>
      <c r="AJ60" s="588"/>
      <c r="AK60" s="588"/>
      <c r="AL60" s="588"/>
      <c r="AM60" s="588"/>
      <c r="AS60" s="50">
        <v>75</v>
      </c>
    </row>
    <row r="61" ht="14.65" customHeight="1">
      <c r="O61" s="53"/>
      <c r="AS61" s="50">
        <v>14</v>
      </c>
    </row>
    <row r="62" ht="18.75" customHeight="1">
      <c r="O62" s="53"/>
      <c r="S62" s="490"/>
      <c r="T62" s="588"/>
      <c r="U62" s="588"/>
      <c r="V62" s="588"/>
      <c r="W62" s="588"/>
      <c r="X62" s="588"/>
      <c r="Y62" s="588"/>
      <c r="Z62" s="588"/>
      <c r="AA62" s="588"/>
      <c r="AB62" s="588"/>
      <c r="AC62" s="588"/>
      <c r="AD62" s="588"/>
      <c r="AE62" s="588"/>
      <c r="AF62" s="588"/>
      <c r="AG62" s="588"/>
      <c r="AH62" s="588"/>
      <c r="AI62" s="588"/>
      <c r="AJ62" s="588"/>
      <c r="AK62" s="588"/>
      <c r="AL62" s="588"/>
      <c r="AM62" s="588"/>
      <c r="AS62" s="50">
        <v>18</v>
      </c>
    </row>
    <row r="63" ht="18.75" customHeight="1">
      <c r="O63" s="53"/>
      <c r="T63" s="588"/>
      <c r="U63" s="588"/>
      <c r="V63" s="588"/>
      <c r="W63" s="588"/>
      <c r="X63" s="588"/>
      <c r="Y63" s="588"/>
      <c r="Z63" s="588"/>
      <c r="AA63" s="588"/>
      <c r="AB63" s="588"/>
      <c r="AC63" s="588"/>
      <c r="AD63" s="588"/>
      <c r="AE63" s="588"/>
      <c r="AF63" s="588"/>
      <c r="AG63" s="588"/>
      <c r="AH63" s="588"/>
      <c r="AI63" s="588"/>
      <c r="AJ63" s="588"/>
      <c r="AK63" s="588"/>
      <c r="AL63" s="588"/>
      <c r="AM63" s="588"/>
      <c r="AS63" s="50">
        <v>18</v>
      </c>
    </row>
    <row r="64" ht="39.75" customHeight="1">
      <c r="O64" s="53"/>
      <c r="S64" s="490"/>
      <c r="T64" s="588"/>
      <c r="U64" s="588"/>
      <c r="V64" s="588"/>
      <c r="W64" s="588"/>
      <c r="X64" s="588"/>
      <c r="Y64" s="588"/>
      <c r="Z64" s="588"/>
      <c r="AA64" s="588"/>
      <c r="AB64" s="588"/>
      <c r="AC64" s="588"/>
      <c r="AD64" s="588"/>
      <c r="AE64" s="588"/>
      <c r="AF64" s="588"/>
      <c r="AG64" s="588"/>
      <c r="AH64" s="588"/>
      <c r="AI64" s="588"/>
      <c r="AJ64" s="588"/>
      <c r="AK64" s="588"/>
      <c r="AL64" s="588"/>
      <c r="AM64" s="588"/>
      <c r="AS64" s="50">
        <v>38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2">
        <v>3</v>
      </c>
      <c r="R65" s="492">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900FC-00B3-467C-BA9C-005C001100D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F50028-000A-4D99-B0F5-00C300F700A0}"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70038-00B9-47A7-975B-008500130029}"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C0091-0064-4BAF-9F99-00EB00A500DA}"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398</v>
      </c>
      <c r="AO2" s="129"/>
      <c r="AP2" s="129" t="str">
        <f t="shared" ref="AP2:AP9" si="12">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400</v>
      </c>
      <c r="AO3" s="129"/>
      <c r="AP3" s="129" t="str">
        <f t="shared" si="12"/>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401</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402</v>
      </c>
      <c r="AO4" s="129"/>
      <c r="AP4" s="129" t="str">
        <f t="shared" si="12"/>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7"/>
      <c r="S5" s="498" t="e">
        <f>INDEX(PT_DIFFERENTIATION_NUM_IST_TE,MATCH(D5,PT_DIFFERENTIATION_IST_TE_ID,0))</f>
        <v>#VALUE!</v>
      </c>
      <c r="T5" s="511" t="s">
        <v>403</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404</v>
      </c>
      <c r="AO5" s="129"/>
      <c r="AP5" s="129" t="str">
        <f t="shared" si="12"/>
        <v xml:space="preserve">Источник тепловой энергии</v>
      </c>
      <c r="AQ5" s="129"/>
      <c r="AR5" s="129"/>
      <c r="AS5" s="50">
        <v>0</v>
      </c>
    </row>
    <row r="6" ht="14.25" hidden="1" customHeight="1">
      <c r="A6" s="493"/>
      <c r="B6" s="493"/>
      <c r="C6" s="493"/>
      <c r="D6" s="493"/>
      <c r="E6" s="505"/>
      <c r="F6" s="505"/>
      <c r="G6" s="505"/>
      <c r="H6" s="505"/>
      <c r="I6" s="512" t="e">
        <f>S5&amp;".1"</f>
        <v>#VALUE!</v>
      </c>
      <c r="J6" s="493"/>
      <c r="K6" s="493"/>
      <c r="L6" s="495" t="s">
        <v>405</v>
      </c>
      <c r="M6" s="53"/>
      <c r="P6" s="132">
        <v>1</v>
      </c>
      <c r="Q6" s="132"/>
      <c r="R6" s="513"/>
      <c r="S6" s="366"/>
      <c r="T6" s="600"/>
      <c r="U6" s="601"/>
      <c r="V6" s="602"/>
      <c r="W6" s="603"/>
      <c r="X6" s="603"/>
      <c r="Y6" s="603"/>
      <c r="Z6" s="603"/>
      <c r="AA6" s="603"/>
      <c r="AB6" s="603"/>
      <c r="AC6" s="604"/>
      <c r="AD6" s="602"/>
      <c r="AE6" s="603"/>
      <c r="AF6" s="603"/>
      <c r="AG6" s="603"/>
      <c r="AH6" s="603"/>
      <c r="AI6" s="603"/>
      <c r="AJ6" s="603"/>
      <c r="AK6" s="603"/>
      <c r="AL6" s="604"/>
      <c r="AM6" s="605"/>
      <c r="AO6" s="129"/>
      <c r="AP6" s="129" t="str">
        <f t="shared" si="12"/>
        <v/>
      </c>
      <c r="AQ6" s="129"/>
      <c r="AR6" s="129"/>
      <c r="AS6" s="50">
        <v>0</v>
      </c>
    </row>
    <row r="7" ht="21" hidden="1" customHeight="1">
      <c r="A7" s="493"/>
      <c r="B7" s="493"/>
      <c r="C7" s="493"/>
      <c r="D7" s="493"/>
      <c r="E7" s="505"/>
      <c r="F7" s="505"/>
      <c r="G7" s="505"/>
      <c r="H7" s="505"/>
      <c r="I7" s="517"/>
      <c r="J7" s="512" t="e">
        <f>I6&amp;".1"</f>
        <v>#VALUE!</v>
      </c>
      <c r="K7" s="493"/>
      <c r="L7" s="495" t="s">
        <v>408</v>
      </c>
      <c r="M7" s="53"/>
      <c r="N7" s="53"/>
      <c r="P7" s="132"/>
      <c r="Q7" s="132">
        <v>1</v>
      </c>
      <c r="R7" s="518"/>
      <c r="S7" s="498" t="e">
        <f>$J7</f>
        <v>#VALUE!</v>
      </c>
      <c r="T7" s="519" t="s">
        <v>409</v>
      </c>
      <c r="U7" s="500"/>
      <c r="V7" s="445"/>
      <c r="W7" s="515"/>
      <c r="X7" s="515"/>
      <c r="Y7" s="515"/>
      <c r="Z7" s="515"/>
      <c r="AA7" s="515"/>
      <c r="AB7" s="515"/>
      <c r="AC7" s="516"/>
      <c r="AD7" s="445"/>
      <c r="AE7" s="515"/>
      <c r="AF7" s="515"/>
      <c r="AG7" s="515"/>
      <c r="AH7" s="515"/>
      <c r="AI7" s="515"/>
      <c r="AJ7" s="515"/>
      <c r="AK7" s="515"/>
      <c r="AL7" s="516"/>
      <c r="AM7" s="504" t="s">
        <v>410</v>
      </c>
      <c r="AO7" s="129"/>
      <c r="AP7" s="129" t="str">
        <f t="shared" si="12"/>
        <v xml:space="preserve">Группа потребителей</v>
      </c>
      <c r="AQ7" s="129"/>
      <c r="AR7" s="129"/>
      <c r="AS7" s="50">
        <v>0</v>
      </c>
    </row>
    <row r="8" ht="21" hidden="1" customHeight="1">
      <c r="A8" s="493"/>
      <c r="B8" s="493"/>
      <c r="C8" s="493"/>
      <c r="D8" s="493"/>
      <c r="E8" s="505"/>
      <c r="F8" s="505"/>
      <c r="G8" s="505"/>
      <c r="H8" s="505"/>
      <c r="I8" s="517"/>
      <c r="J8" s="517"/>
      <c r="K8" s="512" t="e">
        <f>J7&amp;".1"</f>
        <v>#VALUE!</v>
      </c>
      <c r="L8" s="495" t="s">
        <v>411</v>
      </c>
      <c r="M8" s="53"/>
      <c r="N8" s="53"/>
      <c r="O8" s="53"/>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412</v>
      </c>
      <c r="AN8" s="57" t="e">
        <f>STRCHECKDATE(V9:AL9)</f>
        <v>#NAME?</v>
      </c>
      <c r="AO8" s="129"/>
      <c r="AP8" s="129" t="str">
        <f t="shared" si="12"/>
        <v/>
      </c>
      <c r="AQ8" s="129"/>
      <c r="AR8" s="129"/>
      <c r="AS8" s="50">
        <v>0</v>
      </c>
    </row>
    <row r="9" ht="0.7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12"/>
        <v/>
      </c>
      <c r="AQ9" s="129"/>
      <c r="AR9" s="129"/>
      <c r="AS9" s="50">
        <v>0</v>
      </c>
    </row>
    <row r="10" ht="15" hidden="1" customHeight="1">
      <c r="A10" s="493"/>
      <c r="B10" s="493"/>
      <c r="C10" s="493"/>
      <c r="D10" s="493"/>
      <c r="E10" s="505"/>
      <c r="F10" s="505"/>
      <c r="G10" s="505"/>
      <c r="H10" s="505"/>
      <c r="I10" s="517"/>
      <c r="J10" s="512"/>
      <c r="K10" s="493"/>
      <c r="L10" s="495"/>
      <c r="M10" s="53"/>
      <c r="N10" s="53"/>
      <c r="P10" s="132"/>
      <c r="Q10" s="132"/>
      <c r="R10" s="513"/>
      <c r="S10" s="529"/>
      <c r="T10" s="533" t="s">
        <v>413</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13">IF(T10="","",T10)</f>
        <v xml:space="preserve">Добавить вид теплоносителя (параметры теплоносителя)</v>
      </c>
      <c r="AQ10" s="129"/>
      <c r="AR10" s="129"/>
      <c r="AS10" s="50">
        <v>0</v>
      </c>
    </row>
    <row r="11" ht="15" hidden="1" customHeight="1">
      <c r="A11" s="493"/>
      <c r="B11" s="493"/>
      <c r="C11" s="493"/>
      <c r="D11" s="493"/>
      <c r="E11" s="505"/>
      <c r="F11" s="505"/>
      <c r="G11" s="505"/>
      <c r="H11" s="505"/>
      <c r="I11" s="512"/>
      <c r="J11" s="493"/>
      <c r="K11" s="493"/>
      <c r="L11" s="495"/>
      <c r="M11" s="53"/>
      <c r="P11" s="132"/>
      <c r="Q11" s="132"/>
      <c r="R11" s="513"/>
      <c r="S11" s="529"/>
      <c r="T11" s="537" t="s">
        <v>414</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13"/>
        <v xml:space="preserve">Добавить группу потребителей</v>
      </c>
      <c r="AQ11" s="129"/>
      <c r="AR11" s="129"/>
      <c r="AS11" s="50">
        <v>0</v>
      </c>
    </row>
    <row r="12" ht="14.25" hidden="1" customHeight="1">
      <c r="A12" s="493"/>
      <c r="B12" s="493"/>
      <c r="C12" s="493"/>
      <c r="D12" s="493"/>
      <c r="E12" s="505"/>
      <c r="F12" s="505"/>
      <c r="G12" s="505"/>
      <c r="H12" s="494"/>
      <c r="I12" s="493"/>
      <c r="J12" s="493"/>
      <c r="K12" s="493"/>
      <c r="L12" s="495"/>
      <c r="M12" s="496"/>
      <c r="N12" s="496"/>
      <c r="O12" s="53"/>
      <c r="P12" s="143"/>
      <c r="Q12" s="536"/>
      <c r="R12" s="497"/>
      <c r="S12" s="606"/>
      <c r="T12" s="607"/>
      <c r="U12" s="608"/>
      <c r="V12" s="608"/>
      <c r="W12" s="608"/>
      <c r="X12" s="608"/>
      <c r="Y12" s="608"/>
      <c r="Z12" s="608"/>
      <c r="AA12" s="608"/>
      <c r="AB12" s="608"/>
      <c r="AC12" s="608"/>
      <c r="AD12" s="608"/>
      <c r="AE12" s="608"/>
      <c r="AF12" s="608"/>
      <c r="AG12" s="608"/>
      <c r="AH12" s="608"/>
      <c r="AI12" s="608"/>
      <c r="AJ12" s="608"/>
      <c r="AK12" s="608"/>
      <c r="AL12" s="608"/>
      <c r="AM12" s="609"/>
      <c r="AO12" s="129"/>
      <c r="AP12" s="129" t="str">
        <f t="shared" si="13"/>
        <v/>
      </c>
      <c r="AQ12" s="129"/>
      <c r="AR12" s="129"/>
      <c r="AS12" s="50">
        <v>0</v>
      </c>
    </row>
    <row r="13" s="57" customFormat="1" ht="0.75" hidden="1" customHeight="1">
      <c r="A13" s="133"/>
      <c r="B13" s="133"/>
      <c r="C13" s="133"/>
      <c r="D13" s="133"/>
      <c r="E13" s="505"/>
      <c r="F13" s="505"/>
      <c r="G13" s="494"/>
      <c r="H13" s="133"/>
      <c r="I13" s="133"/>
      <c r="J13" s="133"/>
      <c r="K13" s="133"/>
      <c r="L13" s="212"/>
      <c r="M13" s="478"/>
      <c r="N13" s="478"/>
      <c r="P13" s="167"/>
      <c r="Q13" s="538"/>
      <c r="R13" s="167"/>
      <c r="S13" s="539"/>
      <c r="T13" s="540" t="s">
        <v>416</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13"/>
        <v xml:space="preserve">Добавить источник для дифференциации</v>
      </c>
      <c r="AQ13" s="129"/>
      <c r="AR13" s="129"/>
      <c r="AS13" s="57">
        <v>0</v>
      </c>
    </row>
    <row r="14" s="57" customFormat="1" ht="0.75" hidden="1" customHeight="1">
      <c r="A14" s="133"/>
      <c r="B14" s="133"/>
      <c r="C14" s="133"/>
      <c r="D14" s="133"/>
      <c r="E14" s="505"/>
      <c r="F14" s="494"/>
      <c r="G14" s="133"/>
      <c r="H14" s="133"/>
      <c r="I14" s="133"/>
      <c r="J14" s="133"/>
      <c r="K14" s="133"/>
      <c r="L14" s="212"/>
      <c r="M14" s="542"/>
      <c r="N14" s="542"/>
      <c r="P14" s="167"/>
      <c r="Q14" s="538"/>
      <c r="R14" s="167"/>
      <c r="S14" s="543"/>
      <c r="T14" s="544" t="s">
        <v>238</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1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94"/>
      <c r="F15" s="133"/>
      <c r="G15" s="133"/>
      <c r="H15" s="133"/>
      <c r="I15" s="133"/>
      <c r="J15" s="133"/>
      <c r="K15" s="133"/>
      <c r="L15" s="212"/>
      <c r="M15" s="542"/>
      <c r="N15" s="542"/>
      <c r="P15" s="167"/>
      <c r="Q15" s="538"/>
      <c r="R15" s="167"/>
      <c r="S15" s="543"/>
      <c r="T15" s="546" t="s">
        <v>239</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13"/>
        <v xml:space="preserve">Добавить территорию для дифференциации</v>
      </c>
      <c r="AQ15" s="129"/>
      <c r="AR15" s="129"/>
      <c r="AS15" s="57">
        <v>0</v>
      </c>
    </row>
    <row r="16" ht="14.25" hidden="1" customHeight="1">
      <c r="AC16" s="50"/>
      <c r="AK16" s="50"/>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K19" s="50"/>
      <c r="AS19" s="50">
        <v>0</v>
      </c>
    </row>
    <row r="20" s="53" customFormat="1" ht="22.5" hidden="1" customHeight="1">
      <c r="L20" s="113"/>
      <c r="M20" s="61"/>
      <c r="N20" s="61"/>
      <c r="O20" s="551" t="s">
        <v>417</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14.25" hidden="1" customHeight="1">
      <c r="L22" s="113"/>
      <c r="M22" s="61"/>
      <c r="N22" s="61"/>
      <c r="O22" s="495" t="s">
        <v>418</v>
      </c>
      <c r="P22" s="61"/>
      <c r="Q22" s="552"/>
      <c r="R22" s="552"/>
      <c r="S22" s="496"/>
      <c r="T22" s="53" t="s">
        <v>419</v>
      </c>
      <c r="AA22" s="151" t="s">
        <v>420</v>
      </c>
      <c r="AC22" s="151" t="s">
        <v>421</v>
      </c>
      <c r="AD22" s="53" t="s">
        <v>419</v>
      </c>
      <c r="AI22" s="151" t="s">
        <v>422</v>
      </c>
      <c r="AK22" s="151" t="s">
        <v>421</v>
      </c>
      <c r="AN22" s="57"/>
      <c r="AO22" s="57"/>
      <c r="AP22" s="57"/>
      <c r="AQ22" s="57"/>
      <c r="AR22" s="57"/>
      <c r="AS22" s="53">
        <v>0</v>
      </c>
    </row>
    <row r="23" ht="14.25" hidden="1" customHeight="1">
      <c r="O23" s="495"/>
      <c r="AS23" s="50">
        <v>0</v>
      </c>
    </row>
    <row r="24" ht="14.25" hidden="1" customHeight="1">
      <c r="O24" s="495"/>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63" customHeight="1">
      <c r="Q26" s="553"/>
      <c r="R26" s="553"/>
      <c r="S26" s="466"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6"/>
      <c r="U26" s="466"/>
      <c r="V26" s="466"/>
      <c r="W26" s="466"/>
      <c r="X26" s="466"/>
      <c r="Y26" s="466"/>
      <c r="Z26" s="466"/>
      <c r="AA26" s="466"/>
      <c r="AB26" s="466"/>
      <c r="AC26" s="466"/>
      <c r="AD26" s="466"/>
      <c r="AE26" s="466"/>
      <c r="AF26" s="466"/>
      <c r="AG26" s="466"/>
      <c r="AH26" s="466"/>
      <c r="AI26" s="466"/>
      <c r="AJ26" s="466"/>
      <c r="AK26" s="240"/>
      <c r="AS26" s="50">
        <v>60</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423</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424</v>
      </c>
      <c r="T31" s="556"/>
      <c r="U31" s="557"/>
      <c r="V31" s="558" t="str">
        <f>IF(TITLE_NUMBER_PR_CHANGE="",IF(TITLE_NUMBER_PR="","",TITLE_NUMBER_PR),TITLE_NUMBER_PR_CHANGE)</f>
        <v>ПГ/01/950</v>
      </c>
      <c r="W31" s="558"/>
      <c r="X31" s="558"/>
      <c r="Y31" s="558"/>
      <c r="Z31" s="558"/>
      <c r="AA31" s="558"/>
      <c r="AB31" s="558"/>
      <c r="AC31" s="50"/>
      <c r="AD31" s="558" t="str">
        <f>IF(TITLE_NUMBER_PR_CHANGE="",IF(TITLE_NUMBER_PR="","",TITLE_NUMBER_PR),TITLE_NUMBER_PR_CHANGE)</f>
        <v>ПГ/01/950</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425</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customHeight="1">
      <c r="A35" s="151"/>
      <c r="B35" s="151"/>
      <c r="C35" s="151"/>
      <c r="D35" s="151"/>
      <c r="E35" s="151"/>
      <c r="F35" s="151"/>
      <c r="G35" s="151"/>
      <c r="H35" s="151"/>
      <c r="I35" s="151"/>
      <c r="J35" s="151"/>
      <c r="K35" s="151"/>
      <c r="L35" s="495"/>
      <c r="M35" s="151"/>
      <c r="N35" s="151"/>
      <c r="O35" s="151"/>
      <c r="S35" s="556" t="s">
        <v>426</v>
      </c>
      <c r="T35" s="556"/>
      <c r="U35" s="557"/>
      <c r="V35" s="558" t="str">
        <f>IF(TITLE_NUMBER_PR_CHANGE="",IF(TITLE_NUMBER_PR="","",TITLE_NUMBER_PR),TITLE_NUMBER_PR_CHANGE)</f>
        <v>ПГ/01/950</v>
      </c>
      <c r="W35" s="558"/>
      <c r="X35" s="558"/>
      <c r="Y35" s="558"/>
      <c r="Z35" s="558"/>
      <c r="AA35" s="558"/>
      <c r="AB35" s="558"/>
      <c r="AC35" s="50"/>
      <c r="AD35" s="558" t="str">
        <f>IF(TITLE_NUMBER_PR_CHANGE="",IF(TITLE_NUMBER_PR="","",TITLE_NUMBER_PR),TITLE_NUMBER_PR_CHANGE)</f>
        <v>ПГ/01/950</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427</v>
      </c>
      <c r="AD36" s="50"/>
      <c r="AE36" s="50"/>
      <c r="AF36" s="50"/>
      <c r="AG36" s="50"/>
      <c r="AH36" s="50"/>
      <c r="AI36" s="50"/>
      <c r="AJ36" s="50"/>
      <c r="AK36" s="57" t="s">
        <v>427</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302</v>
      </c>
      <c r="T38" s="157"/>
      <c r="U38" s="157"/>
      <c r="V38" s="157"/>
      <c r="W38" s="157"/>
      <c r="X38" s="157"/>
      <c r="Y38" s="157"/>
      <c r="Z38" s="157"/>
      <c r="AA38" s="157"/>
      <c r="AB38" s="157"/>
      <c r="AC38" s="157"/>
      <c r="AD38" s="157"/>
      <c r="AE38" s="157"/>
      <c r="AF38" s="157"/>
      <c r="AG38" s="157"/>
      <c r="AH38" s="157"/>
      <c r="AI38" s="157"/>
      <c r="AJ38" s="157"/>
      <c r="AK38" s="157"/>
      <c r="AL38" s="157"/>
      <c r="AM38" s="157" t="s">
        <v>303</v>
      </c>
      <c r="AS38" s="50">
        <v>14</v>
      </c>
    </row>
    <row r="39" ht="14.65" customHeight="1">
      <c r="Q39" s="553"/>
      <c r="R39" s="553"/>
      <c r="S39" s="498" t="s">
        <v>88</v>
      </c>
      <c r="T39" s="362" t="s">
        <v>428</v>
      </c>
      <c r="U39" s="563"/>
      <c r="V39" s="564" t="s">
        <v>429</v>
      </c>
      <c r="W39" s="565"/>
      <c r="X39" s="565"/>
      <c r="Y39" s="565"/>
      <c r="Z39" s="565"/>
      <c r="AA39" s="565"/>
      <c r="AB39" s="566"/>
      <c r="AC39" s="567" t="s">
        <v>430</v>
      </c>
      <c r="AD39" s="564" t="s">
        <v>429</v>
      </c>
      <c r="AE39" s="565"/>
      <c r="AF39" s="565"/>
      <c r="AG39" s="565"/>
      <c r="AH39" s="565"/>
      <c r="AI39" s="565"/>
      <c r="AJ39" s="566"/>
      <c r="AK39" s="567" t="s">
        <v>431</v>
      </c>
      <c r="AL39" s="568" t="s">
        <v>432</v>
      </c>
      <c r="AM39" s="157"/>
      <c r="AS39" s="50">
        <v>14</v>
      </c>
    </row>
    <row r="40" ht="35.649999999999999" customHeight="1">
      <c r="Q40" s="553"/>
      <c r="R40" s="553"/>
      <c r="S40" s="498"/>
      <c r="T40" s="362"/>
      <c r="U40" s="569"/>
      <c r="V40" s="324" t="s">
        <v>433</v>
      </c>
      <c r="W40" s="570"/>
      <c r="X40" s="73" t="s">
        <v>435</v>
      </c>
      <c r="Y40" s="72"/>
      <c r="Z40" s="73" t="s">
        <v>436</v>
      </c>
      <c r="AA40" s="145"/>
      <c r="AB40" s="72"/>
      <c r="AC40" s="571"/>
      <c r="AD40" s="324" t="s">
        <v>449</v>
      </c>
      <c r="AE40" s="570"/>
      <c r="AF40" s="73" t="s">
        <v>435</v>
      </c>
      <c r="AG40" s="72"/>
      <c r="AH40" s="73" t="s">
        <v>436</v>
      </c>
      <c r="AI40" s="145"/>
      <c r="AJ40" s="72"/>
      <c r="AK40" s="571"/>
      <c r="AL40" s="572"/>
      <c r="AM40" s="157"/>
      <c r="AS40" s="50">
        <v>34</v>
      </c>
    </row>
    <row r="41" ht="35.649999999999999" customHeight="1">
      <c r="A41" s="151"/>
      <c r="B41" s="151" t="s">
        <v>135</v>
      </c>
      <c r="C41" s="151" t="s">
        <v>136</v>
      </c>
      <c r="D41" s="151" t="s">
        <v>137</v>
      </c>
      <c r="E41" s="495" t="s">
        <v>437</v>
      </c>
      <c r="F41" s="495" t="s">
        <v>438</v>
      </c>
      <c r="G41" s="495" t="s">
        <v>439</v>
      </c>
      <c r="H41" s="495" t="s">
        <v>440</v>
      </c>
      <c r="I41" s="495" t="s">
        <v>441</v>
      </c>
      <c r="J41" s="495" t="s">
        <v>442</v>
      </c>
      <c r="K41" s="495" t="s">
        <v>443</v>
      </c>
      <c r="L41" s="495" t="s">
        <v>418</v>
      </c>
      <c r="Q41" s="553"/>
      <c r="R41" s="553"/>
      <c r="S41" s="498"/>
      <c r="T41" s="362"/>
      <c r="U41" s="573"/>
      <c r="V41" s="162"/>
      <c r="W41" s="574"/>
      <c r="X41" s="246" t="s">
        <v>444</v>
      </c>
      <c r="Y41" s="246" t="s">
        <v>445</v>
      </c>
      <c r="Z41" s="246" t="s">
        <v>446</v>
      </c>
      <c r="AA41" s="429" t="s">
        <v>447</v>
      </c>
      <c r="AB41" s="431"/>
      <c r="AC41" s="575"/>
      <c r="AD41" s="162"/>
      <c r="AE41" s="574"/>
      <c r="AF41" s="246" t="s">
        <v>444</v>
      </c>
      <c r="AG41" s="246" t="s">
        <v>445</v>
      </c>
      <c r="AH41" s="246" t="s">
        <v>446</v>
      </c>
      <c r="AI41" s="429" t="s">
        <v>447</v>
      </c>
      <c r="AJ41" s="431"/>
      <c r="AK41" s="575"/>
      <c r="AL41" s="576"/>
      <c r="AM41" s="157"/>
      <c r="AS41" s="50">
        <v>34</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493" t="s">
        <v>167</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3"/>
        <v xml:space="preserve">Наименование тарифа</v>
      </c>
      <c r="AQ43" s="129"/>
      <c r="AR43" s="129"/>
      <c r="AS43" s="50">
        <v>21</v>
      </c>
    </row>
    <row r="44" ht="22" customHeight="1">
      <c r="A44" s="493" t="s">
        <v>167</v>
      </c>
      <c r="B44" s="493" t="s">
        <v>168</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399</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400</v>
      </c>
      <c r="AO44" s="129"/>
      <c r="AP44" s="129" t="str">
        <f t="shared" si="13"/>
        <v xml:space="preserve">Территория действия тарифа</v>
      </c>
      <c r="AQ44" s="129"/>
      <c r="AR44" s="129"/>
      <c r="AS44" s="50">
        <v>21</v>
      </c>
    </row>
    <row r="45" ht="24" customHeight="1">
      <c r="A45" s="493" t="s">
        <v>167</v>
      </c>
      <c r="B45" s="493" t="s">
        <v>168</v>
      </c>
      <c r="C45" s="493" t="s">
        <v>169</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401</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402</v>
      </c>
      <c r="AO45" s="129"/>
      <c r="AP45" s="129" t="str">
        <f t="shared" si="13"/>
        <v xml:space="preserve">Наименование системы теплоснабжения</v>
      </c>
      <c r="AQ45" s="129"/>
      <c r="AR45" s="129"/>
      <c r="AS45" s="50">
        <v>23</v>
      </c>
    </row>
    <row r="46" ht="22" customHeight="1">
      <c r="A46" s="493" t="s">
        <v>167</v>
      </c>
      <c r="B46" s="493" t="s">
        <v>168</v>
      </c>
      <c r="C46" s="493" t="s">
        <v>169</v>
      </c>
      <c r="D46" s="493" t="s">
        <v>170</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403</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404</v>
      </c>
      <c r="AO46" s="129"/>
      <c r="AP46" s="129" t="str">
        <f t="shared" si="13"/>
        <v xml:space="preserve">Источник тепловой энергии</v>
      </c>
      <c r="AQ46" s="129"/>
      <c r="AR46" s="129"/>
      <c r="AS46" s="50">
        <v>21</v>
      </c>
    </row>
    <row r="47" s="57" customFormat="1" ht="0" customHeight="1">
      <c r="A47" s="133" t="s">
        <v>167</v>
      </c>
      <c r="B47" s="133" t="s">
        <v>168</v>
      </c>
      <c r="C47" s="133" t="s">
        <v>169</v>
      </c>
      <c r="D47" s="133" t="s">
        <v>170</v>
      </c>
      <c r="E47" s="505"/>
      <c r="F47" s="505"/>
      <c r="G47" s="505"/>
      <c r="H47" s="505"/>
      <c r="I47" s="512" t="str">
        <f>S46&amp;".1"</f>
        <v>....1</v>
      </c>
      <c r="J47" s="133"/>
      <c r="K47" s="133"/>
      <c r="L47" s="212" t="s">
        <v>405</v>
      </c>
      <c r="M47" s="610"/>
      <c r="N47" s="610"/>
      <c r="O47" s="610"/>
      <c r="P47" s="132">
        <v>1</v>
      </c>
      <c r="Q47" s="132"/>
      <c r="R47" s="513"/>
      <c r="S47" s="366"/>
      <c r="T47" s="600"/>
      <c r="U47" s="601"/>
      <c r="V47" s="602"/>
      <c r="W47" s="603"/>
      <c r="X47" s="603"/>
      <c r="Y47" s="603"/>
      <c r="Z47" s="603"/>
      <c r="AA47" s="603"/>
      <c r="AB47" s="603"/>
      <c r="AC47" s="604"/>
      <c r="AD47" s="602"/>
      <c r="AE47" s="603"/>
      <c r="AF47" s="603"/>
      <c r="AG47" s="603"/>
      <c r="AH47" s="603"/>
      <c r="AI47" s="603"/>
      <c r="AJ47" s="603"/>
      <c r="AK47" s="603"/>
      <c r="AL47" s="604"/>
      <c r="AM47" s="605"/>
      <c r="AO47" s="129"/>
      <c r="AP47" s="129" t="str">
        <f t="shared" si="13"/>
        <v/>
      </c>
      <c r="AQ47" s="129"/>
      <c r="AR47" s="129"/>
      <c r="AS47" s="57">
        <v>0</v>
      </c>
    </row>
    <row r="48" ht="22" customHeight="1">
      <c r="A48" s="493" t="s">
        <v>167</v>
      </c>
      <c r="B48" s="493" t="s">
        <v>168</v>
      </c>
      <c r="C48" s="493" t="s">
        <v>169</v>
      </c>
      <c r="D48" s="493" t="s">
        <v>170</v>
      </c>
      <c r="E48" s="505"/>
      <c r="F48" s="505"/>
      <c r="G48" s="505"/>
      <c r="H48" s="505"/>
      <c r="I48" s="517"/>
      <c r="J48" s="512" t="str">
        <f>S46&amp;".1"</f>
        <v>....1</v>
      </c>
      <c r="K48" s="493"/>
      <c r="L48" s="495" t="s">
        <v>408</v>
      </c>
      <c r="P48" s="132"/>
      <c r="Q48" s="132">
        <v>1</v>
      </c>
      <c r="R48" s="518"/>
      <c r="S48" s="498" t="str">
        <f>$J48</f>
        <v>....1</v>
      </c>
      <c r="T48" s="519" t="s">
        <v>409</v>
      </c>
      <c r="U48" s="500"/>
      <c r="V48" s="445"/>
      <c r="W48" s="515"/>
      <c r="X48" s="515"/>
      <c r="Y48" s="515"/>
      <c r="Z48" s="515"/>
      <c r="AA48" s="515"/>
      <c r="AB48" s="515"/>
      <c r="AC48" s="516"/>
      <c r="AD48" s="445"/>
      <c r="AE48" s="515"/>
      <c r="AF48" s="515"/>
      <c r="AG48" s="515"/>
      <c r="AH48" s="515"/>
      <c r="AI48" s="515"/>
      <c r="AJ48" s="515"/>
      <c r="AK48" s="515"/>
      <c r="AL48" s="516"/>
      <c r="AM48" s="504" t="s">
        <v>410</v>
      </c>
      <c r="AO48" s="129"/>
      <c r="AP48" s="129" t="str">
        <f t="shared" si="13"/>
        <v xml:space="preserve">Группа потребителей</v>
      </c>
      <c r="AQ48" s="129"/>
      <c r="AR48" s="129"/>
      <c r="AS48" s="50">
        <v>21</v>
      </c>
    </row>
    <row r="49" ht="22" customHeight="1">
      <c r="A49" s="493" t="s">
        <v>167</v>
      </c>
      <c r="B49" s="493" t="s">
        <v>168</v>
      </c>
      <c r="C49" s="493" t="s">
        <v>169</v>
      </c>
      <c r="D49" s="493" t="s">
        <v>170</v>
      </c>
      <c r="E49" s="505"/>
      <c r="F49" s="505"/>
      <c r="G49" s="505"/>
      <c r="H49" s="505"/>
      <c r="I49" s="517"/>
      <c r="J49" s="517"/>
      <c r="K49" s="512" t="str">
        <f>J48&amp;".1"</f>
        <v>....1.1</v>
      </c>
      <c r="L49" s="495" t="s">
        <v>411</v>
      </c>
      <c r="P49" s="132"/>
      <c r="Q49" s="132"/>
      <c r="R49" s="518">
        <v>1</v>
      </c>
      <c r="S49" s="498" t="str">
        <f>$K49</f>
        <v>....1.1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450</v>
      </c>
      <c r="AN49" s="57" t="e">
        <f>STRCHECKDATE(V50:AL50)</f>
        <v>#NAME?</v>
      </c>
      <c r="AO49" s="129"/>
      <c r="AP49" s="129" t="str">
        <f t="shared" si="13"/>
        <v/>
      </c>
      <c r="AQ49" s="129"/>
      <c r="AR49" s="129"/>
      <c r="AS49" s="50">
        <v>21</v>
      </c>
    </row>
    <row r="50" ht="1.05" customHeight="1">
      <c r="A50" s="493" t="s">
        <v>167</v>
      </c>
      <c r="B50" s="493" t="s">
        <v>168</v>
      </c>
      <c r="C50" s="493" t="s">
        <v>169</v>
      </c>
      <c r="D50" s="493" t="s">
        <v>170</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13"/>
        <v/>
      </c>
      <c r="AQ50" s="129"/>
      <c r="AR50" s="129"/>
      <c r="AS50" s="50">
        <v>1</v>
      </c>
    </row>
    <row r="51" ht="11.5" customHeight="1">
      <c r="A51" s="493" t="s">
        <v>167</v>
      </c>
      <c r="B51" s="493" t="s">
        <v>168</v>
      </c>
      <c r="C51" s="493" t="s">
        <v>169</v>
      </c>
      <c r="D51" s="493" t="s">
        <v>170</v>
      </c>
      <c r="E51" s="505"/>
      <c r="F51" s="505"/>
      <c r="G51" s="505"/>
      <c r="H51" s="505"/>
      <c r="I51" s="517"/>
      <c r="J51" s="512"/>
      <c r="K51" s="493"/>
      <c r="L51" s="495"/>
      <c r="P51" s="132"/>
      <c r="Q51" s="132"/>
      <c r="R51" s="513"/>
      <c r="S51" s="529"/>
      <c r="T51" s="533" t="s">
        <v>413</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13"/>
        <v xml:space="preserve">Добавить вид теплоносителя (параметры теплоносителя)</v>
      </c>
      <c r="AQ51" s="129"/>
      <c r="AR51" s="129"/>
      <c r="AS51" s="50">
        <v>11</v>
      </c>
    </row>
    <row r="52" ht="11.5" customHeight="1">
      <c r="A52" s="493" t="s">
        <v>167</v>
      </c>
      <c r="B52" s="493" t="s">
        <v>168</v>
      </c>
      <c r="C52" s="493" t="s">
        <v>169</v>
      </c>
      <c r="D52" s="493" t="s">
        <v>170</v>
      </c>
      <c r="E52" s="505"/>
      <c r="F52" s="505"/>
      <c r="G52" s="505"/>
      <c r="H52" s="505"/>
      <c r="I52" s="512"/>
      <c r="J52" s="493"/>
      <c r="K52" s="493"/>
      <c r="L52" s="495"/>
      <c r="P52" s="132"/>
      <c r="Q52" s="132"/>
      <c r="R52" s="513"/>
      <c r="S52" s="529"/>
      <c r="T52" s="537" t="s">
        <v>414</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13"/>
        <v xml:space="preserve">Добавить группу потребителей</v>
      </c>
      <c r="AQ52" s="129"/>
      <c r="AR52" s="129"/>
      <c r="AS52" s="50">
        <v>11</v>
      </c>
    </row>
    <row r="53" ht="0" customHeight="1">
      <c r="A53" s="493" t="s">
        <v>167</v>
      </c>
      <c r="B53" s="493" t="s">
        <v>168</v>
      </c>
      <c r="C53" s="493" t="s">
        <v>169</v>
      </c>
      <c r="D53" s="493" t="s">
        <v>170</v>
      </c>
      <c r="E53" s="505"/>
      <c r="F53" s="505"/>
      <c r="G53" s="505"/>
      <c r="H53" s="494"/>
      <c r="I53" s="493"/>
      <c r="J53" s="493"/>
      <c r="K53" s="493"/>
      <c r="L53" s="495"/>
      <c r="M53" s="496"/>
      <c r="N53" s="496"/>
      <c r="O53" s="53"/>
      <c r="P53" s="143"/>
      <c r="Q53" s="536"/>
      <c r="R53" s="497"/>
      <c r="S53" s="606"/>
      <c r="T53" s="607"/>
      <c r="U53" s="608"/>
      <c r="V53" s="608"/>
      <c r="W53" s="608"/>
      <c r="X53" s="608"/>
      <c r="Y53" s="608"/>
      <c r="Z53" s="608"/>
      <c r="AA53" s="608"/>
      <c r="AB53" s="608"/>
      <c r="AC53" s="608"/>
      <c r="AD53" s="608"/>
      <c r="AE53" s="608"/>
      <c r="AF53" s="608"/>
      <c r="AG53" s="608"/>
      <c r="AH53" s="608"/>
      <c r="AI53" s="608"/>
      <c r="AJ53" s="608"/>
      <c r="AK53" s="608"/>
      <c r="AL53" s="608"/>
      <c r="AM53" s="609"/>
      <c r="AO53" s="129"/>
      <c r="AP53" s="129" t="str">
        <f t="shared" si="13"/>
        <v/>
      </c>
      <c r="AQ53" s="129"/>
      <c r="AR53" s="129"/>
      <c r="AS53" s="50">
        <v>0</v>
      </c>
    </row>
    <row r="54" s="57" customFormat="1" ht="1.05" customHeight="1">
      <c r="A54" s="133" t="s">
        <v>167</v>
      </c>
      <c r="B54" s="133" t="s">
        <v>168</v>
      </c>
      <c r="C54" s="133" t="s">
        <v>169</v>
      </c>
      <c r="D54" s="133"/>
      <c r="E54" s="505"/>
      <c r="F54" s="505"/>
      <c r="G54" s="494"/>
      <c r="H54" s="133"/>
      <c r="I54" s="133"/>
      <c r="J54" s="133"/>
      <c r="K54" s="133"/>
      <c r="L54" s="212"/>
      <c r="M54" s="478"/>
      <c r="N54" s="478"/>
      <c r="P54" s="167"/>
      <c r="Q54" s="538"/>
      <c r="R54" s="167"/>
      <c r="S54" s="543"/>
      <c r="T54" s="546" t="s">
        <v>416</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13"/>
        <v xml:space="preserve">Добавить источник для дифференциации</v>
      </c>
      <c r="AQ54" s="129"/>
      <c r="AR54" s="129"/>
      <c r="AS54" s="57">
        <v>1</v>
      </c>
    </row>
    <row r="55" s="57" customFormat="1" ht="1.05" customHeight="1">
      <c r="A55" s="133" t="s">
        <v>167</v>
      </c>
      <c r="B55" s="133" t="s">
        <v>168</v>
      </c>
      <c r="C55" s="133"/>
      <c r="D55" s="133"/>
      <c r="E55" s="505"/>
      <c r="F55" s="494"/>
      <c r="G55" s="133"/>
      <c r="H55" s="133"/>
      <c r="I55" s="133"/>
      <c r="J55" s="133"/>
      <c r="K55" s="133"/>
      <c r="L55" s="212"/>
      <c r="M55" s="542"/>
      <c r="N55" s="542"/>
      <c r="P55" s="167"/>
      <c r="Q55" s="538"/>
      <c r="R55" s="167"/>
      <c r="S55" s="543"/>
      <c r="T55" s="546" t="s">
        <v>238</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13"/>
        <v xml:space="preserve">Добавить централизованную систему для дифференциации</v>
      </c>
      <c r="AQ55" s="129"/>
      <c r="AR55" s="129"/>
      <c r="AS55" s="57">
        <v>1</v>
      </c>
    </row>
    <row r="56" s="57" customFormat="1" ht="1.05" customHeight="1">
      <c r="A56" s="133" t="s">
        <v>167</v>
      </c>
      <c r="B56" s="133"/>
      <c r="C56" s="133"/>
      <c r="D56" s="133"/>
      <c r="E56" s="494"/>
      <c r="F56" s="133"/>
      <c r="G56" s="133"/>
      <c r="H56" s="133"/>
      <c r="I56" s="133"/>
      <c r="J56" s="133"/>
      <c r="K56" s="133"/>
      <c r="L56" s="212"/>
      <c r="M56" s="542"/>
      <c r="N56" s="542"/>
      <c r="O56" s="57"/>
      <c r="P56" s="167"/>
      <c r="Q56" s="538"/>
      <c r="R56" s="167"/>
      <c r="S56" s="543"/>
      <c r="T56" s="546" t="s">
        <v>239</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1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42"/>
      <c r="N57" s="542"/>
      <c r="P57" s="167"/>
      <c r="Q57" s="538"/>
      <c r="R57" s="167"/>
      <c r="S57" s="543"/>
      <c r="T57" s="546" t="s">
        <v>240</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1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19.949999999999999"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19</v>
      </c>
    </row>
    <row r="60" ht="29.25" customHeight="1">
      <c r="O60" s="53"/>
      <c r="T60" s="588"/>
      <c r="U60" s="588"/>
      <c r="V60" s="588"/>
      <c r="W60" s="588"/>
      <c r="X60" s="588"/>
      <c r="Y60" s="588"/>
      <c r="Z60" s="588"/>
      <c r="AA60" s="588"/>
      <c r="AB60" s="588"/>
      <c r="AC60" s="588"/>
      <c r="AD60" s="588"/>
      <c r="AE60" s="588"/>
      <c r="AF60" s="588"/>
      <c r="AG60" s="588"/>
      <c r="AH60" s="588"/>
      <c r="AI60" s="588"/>
      <c r="AJ60" s="588"/>
      <c r="AK60" s="588"/>
      <c r="AL60" s="588"/>
      <c r="AM60" s="588"/>
      <c r="AS60" s="50">
        <v>28</v>
      </c>
    </row>
    <row r="61" ht="42" customHeight="1">
      <c r="O61" s="53"/>
      <c r="T61" s="588"/>
      <c r="U61" s="588"/>
      <c r="V61" s="588"/>
      <c r="W61" s="588"/>
      <c r="X61" s="588"/>
      <c r="Y61" s="588"/>
      <c r="Z61" s="588"/>
      <c r="AA61" s="588"/>
      <c r="AB61" s="588"/>
      <c r="AC61" s="588"/>
      <c r="AD61" s="588"/>
      <c r="AE61" s="588"/>
      <c r="AF61" s="588"/>
      <c r="AG61" s="588"/>
      <c r="AH61" s="588"/>
      <c r="AI61" s="588"/>
      <c r="AJ61" s="588"/>
      <c r="AK61" s="588"/>
      <c r="AL61" s="588"/>
      <c r="AM61" s="588"/>
      <c r="AS61" s="50">
        <v>40</v>
      </c>
    </row>
    <row r="62" ht="14.65" customHeight="1">
      <c r="O62" s="53"/>
      <c r="AS62" s="50">
        <v>14</v>
      </c>
    </row>
    <row r="63" ht="21" customHeight="1">
      <c r="O63" s="53"/>
      <c r="S63" s="490"/>
      <c r="T63" s="290"/>
      <c r="U63" s="588"/>
      <c r="V63" s="588"/>
      <c r="W63" s="588"/>
      <c r="X63" s="588"/>
      <c r="Y63" s="588"/>
      <c r="Z63" s="588"/>
      <c r="AA63" s="588"/>
      <c r="AB63" s="588"/>
      <c r="AC63" s="588"/>
      <c r="AD63" s="588"/>
      <c r="AE63" s="588"/>
      <c r="AF63" s="588"/>
      <c r="AG63" s="588"/>
      <c r="AH63" s="588"/>
      <c r="AI63" s="588"/>
      <c r="AJ63" s="588"/>
      <c r="AK63" s="588"/>
      <c r="AL63" s="588"/>
      <c r="AM63" s="588"/>
      <c r="AS63" s="50">
        <v>20</v>
      </c>
    </row>
    <row r="64" ht="29.25" customHeight="1">
      <c r="O64" s="53"/>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35.649999999999999" customHeight="1">
      <c r="T65" s="588"/>
      <c r="U65" s="588"/>
      <c r="V65" s="588"/>
      <c r="W65" s="588"/>
      <c r="X65" s="588"/>
      <c r="Y65" s="588"/>
      <c r="Z65" s="588"/>
      <c r="AA65" s="588"/>
      <c r="AB65" s="588"/>
      <c r="AC65" s="588"/>
      <c r="AD65" s="588"/>
      <c r="AE65" s="588"/>
      <c r="AF65" s="588"/>
      <c r="AG65" s="588"/>
      <c r="AH65" s="588"/>
      <c r="AI65" s="588"/>
      <c r="AJ65" s="588"/>
      <c r="AK65" s="588"/>
      <c r="AL65" s="588"/>
      <c r="AM65" s="588"/>
      <c r="AS65" s="50">
        <v>34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2">
        <v>3</v>
      </c>
      <c r="R66" s="492">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0001B-00E7-4DA0-9F42-00EB00ED007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12006D-002B-4FE9-AB99-000300DF00DF}"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600BD-00B5-40AB-9A45-007D00F2003E}"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20095-007B-4B0C-BB6B-00EA00A8005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1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398</v>
      </c>
      <c r="AO2" s="129"/>
      <c r="AP2" s="129" t="str">
        <f t="shared" ref="AP2:AP9" si="14">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400</v>
      </c>
      <c r="AO3" s="129"/>
      <c r="AP3" s="129" t="str">
        <f t="shared" si="14"/>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612" t="e">
        <f>INDEX(PT_DIFFERENTIATION_NUM_CS,MATCH(C4,PT_DIFFERENTIATION_CS_ID,0))</f>
        <v>#VALUE!</v>
      </c>
      <c r="T4" s="613" t="s">
        <v>401</v>
      </c>
      <c r="U4" s="614"/>
      <c r="V4" s="615"/>
      <c r="W4" s="616"/>
      <c r="X4" s="616"/>
      <c r="Y4" s="616"/>
      <c r="Z4" s="616"/>
      <c r="AA4" s="616"/>
      <c r="AB4" s="616"/>
      <c r="AC4" s="617"/>
      <c r="AD4" s="615" t="e">
        <f>INDEX(PT_DIFFERENTIATION_CS,MATCH(C4,PT_DIFFERENTIATION_CS_ID,0))</f>
        <v>#VALUE!</v>
      </c>
      <c r="AE4" s="616"/>
      <c r="AF4" s="616"/>
      <c r="AG4" s="616"/>
      <c r="AH4" s="616"/>
      <c r="AI4" s="616"/>
      <c r="AJ4" s="616"/>
      <c r="AK4" s="616"/>
      <c r="AL4" s="617"/>
      <c r="AM4" s="504" t="s">
        <v>402</v>
      </c>
      <c r="AO4" s="129"/>
      <c r="AP4" s="129" t="str">
        <f t="shared" si="14"/>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
      <c r="S5" s="498" t="e">
        <f>INDEX(PT_DIFFERENTIATION_NUM_IST_TE,MATCH(D5,PT_DIFFERENTIATION_IST_TE_ID,0))</f>
        <v>#VALUE!</v>
      </c>
      <c r="T5" s="511" t="s">
        <v>403</v>
      </c>
      <c r="U5" s="500"/>
      <c r="V5" s="618"/>
      <c r="W5" s="618"/>
      <c r="X5" s="618"/>
      <c r="Y5" s="618"/>
      <c r="Z5" s="618"/>
      <c r="AA5" s="618"/>
      <c r="AB5" s="618"/>
      <c r="AC5" s="618"/>
      <c r="AD5" s="618" t="e">
        <f>INDEX(PT_DIFFERENTIATION_IST_TE,MATCH(D5,PT_DIFFERENTIATION_IST_TE_ID,0))</f>
        <v>#VALUE!</v>
      </c>
      <c r="AE5" s="618"/>
      <c r="AF5" s="618"/>
      <c r="AG5" s="618"/>
      <c r="AH5" s="618"/>
      <c r="AI5" s="618"/>
      <c r="AJ5" s="618"/>
      <c r="AK5" s="618"/>
      <c r="AL5" s="618"/>
      <c r="AM5" s="619" t="s">
        <v>404</v>
      </c>
      <c r="AO5" s="129"/>
      <c r="AP5" s="129" t="str">
        <f t="shared" si="14"/>
        <v xml:space="preserve">Источник тепловой энергии</v>
      </c>
      <c r="AQ5" s="129"/>
      <c r="AR5" s="129"/>
      <c r="AS5" s="50">
        <v>0</v>
      </c>
    </row>
    <row r="6" ht="0.75" hidden="1" customHeight="1">
      <c r="A6" s="493"/>
      <c r="B6" s="493"/>
      <c r="C6" s="493"/>
      <c r="D6" s="493"/>
      <c r="E6" s="505"/>
      <c r="F6" s="505"/>
      <c r="G6" s="505"/>
      <c r="H6" s="505"/>
      <c r="I6" s="512" t="e">
        <f>S5&amp;".1"</f>
        <v>#VALUE!</v>
      </c>
      <c r="J6" s="493"/>
      <c r="K6" s="493"/>
      <c r="L6" s="495" t="s">
        <v>405</v>
      </c>
      <c r="M6" s="53"/>
      <c r="P6" s="132">
        <v>1</v>
      </c>
      <c r="Q6" s="132"/>
      <c r="R6" s="132"/>
      <c r="S6" s="366"/>
      <c r="T6" s="600"/>
      <c r="U6" s="601"/>
      <c r="V6" s="366"/>
      <c r="W6" s="366"/>
      <c r="X6" s="366"/>
      <c r="Y6" s="366"/>
      <c r="Z6" s="366"/>
      <c r="AA6" s="366"/>
      <c r="AB6" s="366"/>
      <c r="AC6" s="366"/>
      <c r="AD6" s="366"/>
      <c r="AE6" s="366"/>
      <c r="AF6" s="366"/>
      <c r="AG6" s="366"/>
      <c r="AH6" s="366"/>
      <c r="AI6" s="366"/>
      <c r="AJ6" s="366"/>
      <c r="AK6" s="366"/>
      <c r="AL6" s="366"/>
      <c r="AM6" s="620"/>
      <c r="AO6" s="129"/>
      <c r="AP6" s="129" t="str">
        <f t="shared" si="14"/>
        <v/>
      </c>
      <c r="AQ6" s="129"/>
      <c r="AR6" s="129"/>
      <c r="AS6" s="50">
        <v>0</v>
      </c>
    </row>
    <row r="7" ht="84" hidden="1" customHeight="1">
      <c r="A7" s="493"/>
      <c r="B7" s="493"/>
      <c r="C7" s="493"/>
      <c r="D7" s="493"/>
      <c r="E7" s="505"/>
      <c r="F7" s="505"/>
      <c r="G7" s="505"/>
      <c r="H7" s="505"/>
      <c r="I7" s="517"/>
      <c r="J7" s="512" t="e">
        <f>I6&amp;".1"</f>
        <v>#VALUE!</v>
      </c>
      <c r="K7" s="493"/>
      <c r="L7" s="495" t="s">
        <v>408</v>
      </c>
      <c r="M7" s="53"/>
      <c r="N7" s="53"/>
      <c r="P7" s="132"/>
      <c r="Q7" s="132">
        <v>1</v>
      </c>
      <c r="R7" s="57"/>
      <c r="S7" s="498" t="e">
        <f>$J7</f>
        <v>#VALUE!</v>
      </c>
      <c r="T7" s="519" t="s">
        <v>409</v>
      </c>
      <c r="U7" s="500"/>
      <c r="V7" s="621"/>
      <c r="W7" s="621"/>
      <c r="X7" s="621"/>
      <c r="Y7" s="621"/>
      <c r="Z7" s="621"/>
      <c r="AA7" s="621"/>
      <c r="AB7" s="621"/>
      <c r="AC7" s="621"/>
      <c r="AD7" s="621"/>
      <c r="AE7" s="621"/>
      <c r="AF7" s="621"/>
      <c r="AG7" s="621"/>
      <c r="AH7" s="621"/>
      <c r="AI7" s="621"/>
      <c r="AJ7" s="621"/>
      <c r="AK7" s="621"/>
      <c r="AL7" s="621"/>
      <c r="AM7" s="619" t="s">
        <v>410</v>
      </c>
      <c r="AO7" s="129"/>
      <c r="AP7" s="129" t="str">
        <f t="shared" si="14"/>
        <v xml:space="preserve">Группа потребителей</v>
      </c>
      <c r="AQ7" s="129"/>
      <c r="AR7" s="129"/>
      <c r="AS7" s="50">
        <v>0</v>
      </c>
    </row>
    <row r="8" ht="11.25" hidden="1" customHeight="1">
      <c r="A8" s="493"/>
      <c r="B8" s="493"/>
      <c r="C8" s="493"/>
      <c r="D8" s="493"/>
      <c r="E8" s="505"/>
      <c r="F8" s="505"/>
      <c r="G8" s="505"/>
      <c r="H8" s="505"/>
      <c r="I8" s="517"/>
      <c r="J8" s="517"/>
      <c r="K8" s="512" t="e">
        <f>J7&amp;".1"</f>
        <v>#VALUE!</v>
      </c>
      <c r="L8" s="495" t="s">
        <v>411</v>
      </c>
      <c r="M8" s="53"/>
      <c r="N8" s="53"/>
      <c r="O8" s="53"/>
      <c r="P8" s="132"/>
      <c r="Q8" s="132"/>
      <c r="R8" s="518">
        <v>1</v>
      </c>
      <c r="S8" s="622" t="e">
        <f>$K8</f>
        <v>#VALUE!</v>
      </c>
      <c r="T8" s="623"/>
      <c r="U8" s="624"/>
      <c r="V8" s="625"/>
      <c r="W8" s="587"/>
      <c r="X8" s="625"/>
      <c r="Y8" s="626"/>
      <c r="Z8" s="627"/>
      <c r="AA8" s="220" t="s">
        <v>66</v>
      </c>
      <c r="AB8" s="627"/>
      <c r="AC8" s="220" t="s">
        <v>66</v>
      </c>
      <c r="AD8" s="625"/>
      <c r="AE8" s="587"/>
      <c r="AF8" s="625"/>
      <c r="AG8" s="626"/>
      <c r="AH8" s="627"/>
      <c r="AI8" s="220" t="s">
        <v>66</v>
      </c>
      <c r="AJ8" s="627"/>
      <c r="AK8" s="220" t="s">
        <v>66</v>
      </c>
      <c r="AL8" s="587"/>
      <c r="AM8" s="525" t="s">
        <v>412</v>
      </c>
      <c r="AN8" s="57" t="e">
        <f>STRCHECKDATE(V9:AL9)</f>
        <v>#NAME?</v>
      </c>
      <c r="AO8" s="129"/>
      <c r="AP8" s="129" t="str">
        <f t="shared" si="14"/>
        <v/>
      </c>
      <c r="AQ8" s="129"/>
      <c r="AR8" s="129"/>
      <c r="AS8" s="50">
        <v>0</v>
      </c>
    </row>
    <row r="9" ht="0.7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14"/>
        <v/>
      </c>
      <c r="AQ9" s="129"/>
      <c r="AR9" s="129"/>
      <c r="AS9" s="50">
        <v>0</v>
      </c>
    </row>
    <row r="10" ht="11.25" hidden="1" customHeight="1">
      <c r="A10" s="493"/>
      <c r="B10" s="493"/>
      <c r="C10" s="493"/>
      <c r="D10" s="493"/>
      <c r="E10" s="505"/>
      <c r="F10" s="505"/>
      <c r="G10" s="505"/>
      <c r="H10" s="505"/>
      <c r="I10" s="517"/>
      <c r="J10" s="512"/>
      <c r="K10" s="493"/>
      <c r="L10" s="495"/>
      <c r="M10" s="53"/>
      <c r="N10" s="53"/>
      <c r="P10" s="132"/>
      <c r="Q10" s="132"/>
      <c r="R10" s="513"/>
      <c r="S10" s="529"/>
      <c r="T10" s="533" t="s">
        <v>413</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15">IF(T10="","",T10)</f>
        <v xml:space="preserve">Добавить вид теплоносителя (параметры теплоносителя)</v>
      </c>
      <c r="AQ10" s="129"/>
      <c r="AR10" s="129"/>
      <c r="AS10" s="50">
        <v>0</v>
      </c>
    </row>
    <row r="11" ht="11.25" hidden="1" customHeight="1">
      <c r="A11" s="493"/>
      <c r="B11" s="493"/>
      <c r="C11" s="493"/>
      <c r="D11" s="493"/>
      <c r="E11" s="505"/>
      <c r="F11" s="505"/>
      <c r="G11" s="505"/>
      <c r="H11" s="505"/>
      <c r="I11" s="512"/>
      <c r="J11" s="493"/>
      <c r="K11" s="493"/>
      <c r="L11" s="495"/>
      <c r="M11" s="53"/>
      <c r="P11" s="132"/>
      <c r="Q11" s="132"/>
      <c r="R11" s="513"/>
      <c r="S11" s="529"/>
      <c r="T11" s="537" t="s">
        <v>414</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15"/>
        <v xml:space="preserve">Добавить группу потребителей</v>
      </c>
      <c r="AQ11" s="129"/>
      <c r="AR11" s="129"/>
      <c r="AS11" s="50">
        <v>0</v>
      </c>
    </row>
    <row r="12" ht="0.75" hidden="1" customHeight="1">
      <c r="A12" s="493"/>
      <c r="B12" s="493"/>
      <c r="C12" s="493"/>
      <c r="D12" s="493"/>
      <c r="E12" s="505"/>
      <c r="F12" s="505"/>
      <c r="G12" s="505"/>
      <c r="H12" s="494"/>
      <c r="I12" s="493"/>
      <c r="J12" s="493"/>
      <c r="K12" s="493"/>
      <c r="L12" s="495"/>
      <c r="M12" s="496"/>
      <c r="N12" s="496"/>
      <c r="O12" s="53"/>
      <c r="P12" s="143"/>
      <c r="Q12" s="536"/>
      <c r="R12" s="497"/>
      <c r="S12" s="606"/>
      <c r="T12" s="607"/>
      <c r="U12" s="608"/>
      <c r="V12" s="608"/>
      <c r="W12" s="608"/>
      <c r="X12" s="608"/>
      <c r="Y12" s="608"/>
      <c r="Z12" s="608"/>
      <c r="AA12" s="608"/>
      <c r="AB12" s="608"/>
      <c r="AC12" s="608"/>
      <c r="AD12" s="608"/>
      <c r="AE12" s="608"/>
      <c r="AF12" s="608"/>
      <c r="AG12" s="608"/>
      <c r="AH12" s="608"/>
      <c r="AI12" s="608"/>
      <c r="AJ12" s="608"/>
      <c r="AK12" s="608"/>
      <c r="AL12" s="608"/>
      <c r="AM12" s="609"/>
      <c r="AO12" s="129"/>
      <c r="AP12" s="129" t="str">
        <f t="shared" si="15"/>
        <v/>
      </c>
      <c r="AQ12" s="129"/>
      <c r="AR12" s="129"/>
      <c r="AS12" s="50">
        <v>0</v>
      </c>
    </row>
    <row r="13" s="57" customFormat="1" ht="0.75" hidden="1" customHeight="1">
      <c r="A13" s="133"/>
      <c r="B13" s="133"/>
      <c r="C13" s="133"/>
      <c r="D13" s="133"/>
      <c r="E13" s="505"/>
      <c r="F13" s="505"/>
      <c r="G13" s="494"/>
      <c r="H13" s="133"/>
      <c r="I13" s="133"/>
      <c r="J13" s="133"/>
      <c r="K13" s="133"/>
      <c r="L13" s="212"/>
      <c r="M13" s="478"/>
      <c r="N13" s="478"/>
      <c r="P13" s="167"/>
      <c r="Q13" s="538"/>
      <c r="R13" s="167"/>
      <c r="S13" s="539"/>
      <c r="T13" s="540" t="s">
        <v>416</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15"/>
        <v xml:space="preserve">Добавить источник для дифференциации</v>
      </c>
      <c r="AQ13" s="129"/>
      <c r="AR13" s="129"/>
      <c r="AS13" s="57">
        <v>0</v>
      </c>
    </row>
    <row r="14" s="57" customFormat="1" ht="0.75" hidden="1" customHeight="1">
      <c r="A14" s="133"/>
      <c r="B14" s="133"/>
      <c r="C14" s="133"/>
      <c r="D14" s="133"/>
      <c r="E14" s="505"/>
      <c r="F14" s="494"/>
      <c r="G14" s="133"/>
      <c r="H14" s="133"/>
      <c r="I14" s="133"/>
      <c r="J14" s="133"/>
      <c r="K14" s="133"/>
      <c r="L14" s="212"/>
      <c r="M14" s="542"/>
      <c r="N14" s="542"/>
      <c r="P14" s="167"/>
      <c r="Q14" s="538"/>
      <c r="R14" s="167"/>
      <c r="S14" s="543"/>
      <c r="T14" s="544" t="s">
        <v>238</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1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94"/>
      <c r="F15" s="133"/>
      <c r="G15" s="133"/>
      <c r="H15" s="133"/>
      <c r="I15" s="133"/>
      <c r="J15" s="133"/>
      <c r="K15" s="133"/>
      <c r="L15" s="212"/>
      <c r="M15" s="542"/>
      <c r="N15" s="542"/>
      <c r="P15" s="167"/>
      <c r="Q15" s="538"/>
      <c r="R15" s="167"/>
      <c r="S15" s="543"/>
      <c r="T15" s="546" t="s">
        <v>239</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15"/>
        <v xml:space="preserve">Добавить территорию для дифференциации</v>
      </c>
      <c r="AQ15" s="129"/>
      <c r="AR15" s="129"/>
      <c r="AS15" s="57">
        <v>0</v>
      </c>
    </row>
    <row r="16" ht="14.25" hidden="1" customHeight="1">
      <c r="AC16" s="50"/>
      <c r="AK16" s="50"/>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K19" s="50"/>
      <c r="AS19" s="50">
        <v>0</v>
      </c>
    </row>
    <row r="20" s="53" customFormat="1" ht="22.5" hidden="1" customHeight="1">
      <c r="L20" s="113"/>
      <c r="M20" s="61"/>
      <c r="N20" s="61"/>
      <c r="O20" s="551" t="s">
        <v>417</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14.25" hidden="1" customHeight="1">
      <c r="L22" s="113"/>
      <c r="M22" s="61"/>
      <c r="N22" s="61"/>
      <c r="O22" s="495" t="s">
        <v>418</v>
      </c>
      <c r="P22" s="61"/>
      <c r="Q22" s="552"/>
      <c r="R22" s="552"/>
      <c r="S22" s="496"/>
      <c r="T22" s="53" t="s">
        <v>419</v>
      </c>
      <c r="AA22" s="151" t="s">
        <v>420</v>
      </c>
      <c r="AC22" s="151" t="s">
        <v>421</v>
      </c>
      <c r="AD22" s="53" t="s">
        <v>419</v>
      </c>
      <c r="AI22" s="151" t="s">
        <v>422</v>
      </c>
      <c r="AK22" s="151" t="s">
        <v>421</v>
      </c>
      <c r="AN22" s="57"/>
      <c r="AO22" s="57"/>
      <c r="AP22" s="57"/>
      <c r="AQ22" s="57"/>
      <c r="AR22" s="57"/>
      <c r="AS22" s="53">
        <v>0</v>
      </c>
    </row>
    <row r="23" ht="14.25" hidden="1" customHeight="1">
      <c r="O23" s="495"/>
      <c r="AS23" s="50">
        <v>0</v>
      </c>
    </row>
    <row r="24" ht="14.25" hidden="1" customHeight="1">
      <c r="O24" s="495"/>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54.75" customHeight="1">
      <c r="Q26" s="553"/>
      <c r="R26" s="553"/>
      <c r="S26" s="315"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5"/>
      <c r="U26" s="315"/>
      <c r="V26" s="315"/>
      <c r="W26" s="315"/>
      <c r="X26" s="315"/>
      <c r="Y26" s="315"/>
      <c r="Z26" s="315"/>
      <c r="AA26" s="315"/>
      <c r="AB26" s="315"/>
      <c r="AC26" s="315"/>
      <c r="AD26" s="315"/>
      <c r="AE26" s="315"/>
      <c r="AF26" s="315"/>
      <c r="AG26" s="315"/>
      <c r="AH26" s="315"/>
      <c r="AI26" s="315"/>
      <c r="AJ26" s="315"/>
      <c r="AK26" s="240"/>
      <c r="AS26" s="50">
        <v>52</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423</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424</v>
      </c>
      <c r="T31" s="556"/>
      <c r="U31" s="557"/>
      <c r="V31" s="558" t="str">
        <f>IF(TITLE_NUMBER_PR_CHANGE="",IF(TITLE_NUMBER_PR="","",TITLE_NUMBER_PR),TITLE_NUMBER_PR_CHANGE)</f>
        <v>ПГ/01/950</v>
      </c>
      <c r="W31" s="558"/>
      <c r="X31" s="558"/>
      <c r="Y31" s="558"/>
      <c r="Z31" s="558"/>
      <c r="AA31" s="558"/>
      <c r="AB31" s="558"/>
      <c r="AC31" s="50"/>
      <c r="AD31" s="558" t="str">
        <f>IF(TITLE_NUMBER_PR_CHANGE="",IF(TITLE_NUMBER_PR="","",TITLE_NUMBER_PR),TITLE_NUMBER_PR_CHANGE)</f>
        <v>ПГ/01/950</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425</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customHeight="1">
      <c r="A35" s="151"/>
      <c r="B35" s="151"/>
      <c r="C35" s="151"/>
      <c r="D35" s="151"/>
      <c r="E35" s="151"/>
      <c r="F35" s="151"/>
      <c r="G35" s="151"/>
      <c r="H35" s="151"/>
      <c r="I35" s="151"/>
      <c r="J35" s="151"/>
      <c r="K35" s="151"/>
      <c r="L35" s="495"/>
      <c r="M35" s="151"/>
      <c r="N35" s="151"/>
      <c r="O35" s="151"/>
      <c r="S35" s="556" t="s">
        <v>426</v>
      </c>
      <c r="T35" s="556"/>
      <c r="U35" s="557"/>
      <c r="V35" s="558" t="str">
        <f>IF(TITLE_NUMBER_PR_CHANGE="",IF(TITLE_NUMBER_PR="","",TITLE_NUMBER_PR),TITLE_NUMBER_PR_CHANGE)</f>
        <v>ПГ/01/950</v>
      </c>
      <c r="W35" s="558"/>
      <c r="X35" s="558"/>
      <c r="Y35" s="558"/>
      <c r="Z35" s="558"/>
      <c r="AA35" s="558"/>
      <c r="AB35" s="558"/>
      <c r="AC35" s="50"/>
      <c r="AD35" s="558" t="str">
        <f>IF(TITLE_NUMBER_PR_CHANGE="",IF(TITLE_NUMBER_PR="","",TITLE_NUMBER_PR),TITLE_NUMBER_PR_CHANGE)</f>
        <v>ПГ/01/950</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427</v>
      </c>
      <c r="AD36" s="50"/>
      <c r="AE36" s="50"/>
      <c r="AF36" s="50"/>
      <c r="AG36" s="50"/>
      <c r="AH36" s="50"/>
      <c r="AI36" s="50"/>
      <c r="AJ36" s="50"/>
      <c r="AK36" s="57" t="s">
        <v>427</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302</v>
      </c>
      <c r="T38" s="157"/>
      <c r="U38" s="157"/>
      <c r="V38" s="157"/>
      <c r="W38" s="157"/>
      <c r="X38" s="157"/>
      <c r="Y38" s="157"/>
      <c r="Z38" s="157"/>
      <c r="AA38" s="157"/>
      <c r="AB38" s="157"/>
      <c r="AC38" s="157"/>
      <c r="AD38" s="157"/>
      <c r="AE38" s="157"/>
      <c r="AF38" s="157"/>
      <c r="AG38" s="157"/>
      <c r="AH38" s="157"/>
      <c r="AI38" s="157"/>
      <c r="AJ38" s="157"/>
      <c r="AK38" s="157"/>
      <c r="AL38" s="157"/>
      <c r="AM38" s="157" t="s">
        <v>303</v>
      </c>
      <c r="AS38" s="50">
        <v>14</v>
      </c>
    </row>
    <row r="39" ht="14.65" customHeight="1">
      <c r="Q39" s="553"/>
      <c r="R39" s="553"/>
      <c r="S39" s="498" t="s">
        <v>88</v>
      </c>
      <c r="T39" s="362" t="s">
        <v>428</v>
      </c>
      <c r="U39" s="563"/>
      <c r="V39" s="564" t="s">
        <v>429</v>
      </c>
      <c r="W39" s="565"/>
      <c r="X39" s="565"/>
      <c r="Y39" s="565"/>
      <c r="Z39" s="565"/>
      <c r="AA39" s="565"/>
      <c r="AB39" s="566"/>
      <c r="AC39" s="567" t="s">
        <v>430</v>
      </c>
      <c r="AD39" s="564" t="s">
        <v>429</v>
      </c>
      <c r="AE39" s="565"/>
      <c r="AF39" s="565"/>
      <c r="AG39" s="565"/>
      <c r="AH39" s="565"/>
      <c r="AI39" s="565"/>
      <c r="AJ39" s="566"/>
      <c r="AK39" s="567" t="s">
        <v>431</v>
      </c>
      <c r="AL39" s="568" t="s">
        <v>432</v>
      </c>
      <c r="AM39" s="157"/>
      <c r="AS39" s="50">
        <v>14</v>
      </c>
    </row>
    <row r="40" ht="35.649999999999999" customHeight="1">
      <c r="Q40" s="553"/>
      <c r="R40" s="553"/>
      <c r="S40" s="498"/>
      <c r="T40" s="362"/>
      <c r="U40" s="569"/>
      <c r="V40" s="324" t="s">
        <v>433</v>
      </c>
      <c r="W40" s="570"/>
      <c r="X40" s="73" t="s">
        <v>435</v>
      </c>
      <c r="Y40" s="72"/>
      <c r="Z40" s="73" t="s">
        <v>436</v>
      </c>
      <c r="AA40" s="145"/>
      <c r="AB40" s="72"/>
      <c r="AC40" s="571"/>
      <c r="AD40" s="324" t="s">
        <v>449</v>
      </c>
      <c r="AE40" s="570"/>
      <c r="AF40" s="73" t="s">
        <v>435</v>
      </c>
      <c r="AG40" s="72"/>
      <c r="AH40" s="73" t="s">
        <v>436</v>
      </c>
      <c r="AI40" s="145"/>
      <c r="AJ40" s="72"/>
      <c r="AK40" s="571"/>
      <c r="AL40" s="572"/>
      <c r="AM40" s="157"/>
      <c r="AS40" s="50">
        <v>34</v>
      </c>
    </row>
    <row r="41" ht="35.649999999999999" customHeight="1">
      <c r="A41" s="151"/>
      <c r="B41" s="151" t="s">
        <v>135</v>
      </c>
      <c r="C41" s="151" t="s">
        <v>136</v>
      </c>
      <c r="D41" s="151" t="s">
        <v>137</v>
      </c>
      <c r="E41" s="495" t="s">
        <v>437</v>
      </c>
      <c r="F41" s="495" t="s">
        <v>438</v>
      </c>
      <c r="G41" s="495" t="s">
        <v>439</v>
      </c>
      <c r="H41" s="495" t="s">
        <v>440</v>
      </c>
      <c r="I41" s="495" t="s">
        <v>441</v>
      </c>
      <c r="J41" s="495" t="s">
        <v>442</v>
      </c>
      <c r="K41" s="495" t="s">
        <v>443</v>
      </c>
      <c r="L41" s="495" t="s">
        <v>418</v>
      </c>
      <c r="Q41" s="553"/>
      <c r="R41" s="553"/>
      <c r="S41" s="498"/>
      <c r="T41" s="362"/>
      <c r="U41" s="573"/>
      <c r="V41" s="162"/>
      <c r="W41" s="574"/>
      <c r="X41" s="246" t="s">
        <v>444</v>
      </c>
      <c r="Y41" s="246" t="s">
        <v>445</v>
      </c>
      <c r="Z41" s="246" t="s">
        <v>446</v>
      </c>
      <c r="AA41" s="429" t="s">
        <v>447</v>
      </c>
      <c r="AB41" s="431"/>
      <c r="AC41" s="575"/>
      <c r="AD41" s="162"/>
      <c r="AE41" s="574"/>
      <c r="AF41" s="246" t="s">
        <v>444</v>
      </c>
      <c r="AG41" s="246" t="s">
        <v>445</v>
      </c>
      <c r="AH41" s="246" t="s">
        <v>446</v>
      </c>
      <c r="AI41" s="429" t="s">
        <v>447</v>
      </c>
      <c r="AJ41" s="431"/>
      <c r="AK41" s="575"/>
      <c r="AL41" s="576"/>
      <c r="AM41" s="157"/>
      <c r="AS41" s="50">
        <v>34</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493" t="s">
        <v>179</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5"/>
        <v xml:space="preserve">Наименование тарифа</v>
      </c>
      <c r="AQ43" s="129"/>
      <c r="AR43" s="129"/>
      <c r="AS43" s="50">
        <v>21</v>
      </c>
    </row>
    <row r="44" ht="22" customHeight="1">
      <c r="A44" s="493" t="s">
        <v>179</v>
      </c>
      <c r="B44" s="493" t="s">
        <v>180</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399</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400</v>
      </c>
      <c r="AO44" s="129"/>
      <c r="AP44" s="129" t="str">
        <f t="shared" si="15"/>
        <v xml:space="preserve">Территория действия тарифа</v>
      </c>
      <c r="AQ44" s="129"/>
      <c r="AR44" s="129"/>
      <c r="AS44" s="50">
        <v>21</v>
      </c>
    </row>
    <row r="45" ht="24" customHeight="1">
      <c r="A45" s="493" t="s">
        <v>179</v>
      </c>
      <c r="B45" s="493" t="s">
        <v>180</v>
      </c>
      <c r="C45" s="493" t="s">
        <v>181</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401</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402</v>
      </c>
      <c r="AO45" s="129"/>
      <c r="AP45" s="129" t="str">
        <f t="shared" si="15"/>
        <v xml:space="preserve">Наименование системы теплоснабжения</v>
      </c>
      <c r="AQ45" s="129"/>
      <c r="AR45" s="129"/>
      <c r="AS45" s="50">
        <v>23</v>
      </c>
    </row>
    <row r="46" ht="22" customHeight="1">
      <c r="A46" s="493" t="s">
        <v>179</v>
      </c>
      <c r="B46" s="493" t="s">
        <v>180</v>
      </c>
      <c r="C46" s="493" t="s">
        <v>181</v>
      </c>
      <c r="D46" s="493" t="s">
        <v>182</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403</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404</v>
      </c>
      <c r="AO46" s="129"/>
      <c r="AP46" s="129" t="str">
        <f t="shared" si="15"/>
        <v xml:space="preserve">Источник тепловой энергии</v>
      </c>
      <c r="AQ46" s="129"/>
      <c r="AR46" s="129"/>
      <c r="AS46" s="50">
        <v>21</v>
      </c>
    </row>
    <row r="47" s="57" customFormat="1" ht="0" customHeight="1">
      <c r="A47" s="133" t="s">
        <v>179</v>
      </c>
      <c r="B47" s="133" t="s">
        <v>180</v>
      </c>
      <c r="C47" s="133" t="s">
        <v>181</v>
      </c>
      <c r="D47" s="133" t="s">
        <v>182</v>
      </c>
      <c r="E47" s="505"/>
      <c r="F47" s="505"/>
      <c r="G47" s="505"/>
      <c r="H47" s="505"/>
      <c r="I47" s="512" t="str">
        <f>S46&amp;".1"</f>
        <v>....1</v>
      </c>
      <c r="J47" s="133"/>
      <c r="K47" s="133"/>
      <c r="L47" s="212" t="s">
        <v>405</v>
      </c>
      <c r="M47" s="610"/>
      <c r="N47" s="610"/>
      <c r="O47" s="610"/>
      <c r="P47" s="132">
        <v>1</v>
      </c>
      <c r="Q47" s="132"/>
      <c r="R47" s="513"/>
      <c r="S47" s="366"/>
      <c r="T47" s="600"/>
      <c r="U47" s="601"/>
      <c r="V47" s="602"/>
      <c r="W47" s="603"/>
      <c r="X47" s="603"/>
      <c r="Y47" s="603"/>
      <c r="Z47" s="603"/>
      <c r="AA47" s="603"/>
      <c r="AB47" s="603"/>
      <c r="AC47" s="604"/>
      <c r="AD47" s="602"/>
      <c r="AE47" s="603"/>
      <c r="AF47" s="603"/>
      <c r="AG47" s="603"/>
      <c r="AH47" s="603"/>
      <c r="AI47" s="603"/>
      <c r="AJ47" s="603"/>
      <c r="AK47" s="603"/>
      <c r="AL47" s="604"/>
      <c r="AM47" s="605"/>
      <c r="AO47" s="129"/>
      <c r="AP47" s="129" t="str">
        <f t="shared" si="15"/>
        <v/>
      </c>
      <c r="AQ47" s="129"/>
      <c r="AR47" s="129"/>
      <c r="AS47" s="57">
        <v>0</v>
      </c>
    </row>
    <row r="48" ht="22" customHeight="1">
      <c r="A48" s="493" t="s">
        <v>179</v>
      </c>
      <c r="B48" s="493" t="s">
        <v>180</v>
      </c>
      <c r="C48" s="493" t="s">
        <v>181</v>
      </c>
      <c r="D48" s="493" t="s">
        <v>182</v>
      </c>
      <c r="E48" s="505"/>
      <c r="F48" s="505"/>
      <c r="G48" s="505"/>
      <c r="H48" s="505"/>
      <c r="I48" s="517"/>
      <c r="J48" s="512" t="str">
        <f>S46&amp;".1"</f>
        <v>....1</v>
      </c>
      <c r="K48" s="493"/>
      <c r="L48" s="495" t="s">
        <v>408</v>
      </c>
      <c r="P48" s="132"/>
      <c r="Q48" s="132">
        <v>1</v>
      </c>
      <c r="R48" s="518"/>
      <c r="S48" s="498" t="str">
        <f>$J48</f>
        <v>....1</v>
      </c>
      <c r="T48" s="519" t="s">
        <v>409</v>
      </c>
      <c r="U48" s="500"/>
      <c r="V48" s="445"/>
      <c r="W48" s="515"/>
      <c r="X48" s="515"/>
      <c r="Y48" s="515"/>
      <c r="Z48" s="515"/>
      <c r="AA48" s="515"/>
      <c r="AB48" s="515"/>
      <c r="AC48" s="516"/>
      <c r="AD48" s="445"/>
      <c r="AE48" s="515"/>
      <c r="AF48" s="515"/>
      <c r="AG48" s="515"/>
      <c r="AH48" s="515"/>
      <c r="AI48" s="515"/>
      <c r="AJ48" s="515"/>
      <c r="AK48" s="515"/>
      <c r="AL48" s="516"/>
      <c r="AM48" s="504" t="s">
        <v>410</v>
      </c>
      <c r="AO48" s="129"/>
      <c r="AP48" s="129" t="str">
        <f t="shared" si="15"/>
        <v xml:space="preserve">Группа потребителей</v>
      </c>
      <c r="AQ48" s="129"/>
      <c r="AR48" s="129"/>
      <c r="AS48" s="50">
        <v>21</v>
      </c>
    </row>
    <row r="49" ht="22" customHeight="1">
      <c r="A49" s="493" t="s">
        <v>179</v>
      </c>
      <c r="B49" s="493" t="s">
        <v>180</v>
      </c>
      <c r="C49" s="493" t="s">
        <v>181</v>
      </c>
      <c r="D49" s="493" t="s">
        <v>182</v>
      </c>
      <c r="E49" s="505"/>
      <c r="F49" s="505"/>
      <c r="G49" s="505"/>
      <c r="H49" s="505"/>
      <c r="I49" s="517"/>
      <c r="J49" s="517"/>
      <c r="K49" s="512" t="str">
        <f>J48&amp;".1"</f>
        <v>....1.1</v>
      </c>
      <c r="L49" s="495" t="s">
        <v>411</v>
      </c>
      <c r="P49" s="132"/>
      <c r="Q49" s="132"/>
      <c r="R49" s="518">
        <v>1</v>
      </c>
      <c r="S49" s="498" t="str">
        <f>$K49</f>
        <v>....1.1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450</v>
      </c>
      <c r="AN49" s="57" t="e">
        <f>STRCHECKDATE(V50:AL50)</f>
        <v>#NAME?</v>
      </c>
      <c r="AO49" s="129"/>
      <c r="AP49" s="129" t="str">
        <f t="shared" si="15"/>
        <v/>
      </c>
      <c r="AQ49" s="129"/>
      <c r="AR49" s="129"/>
      <c r="AS49" s="50">
        <v>21</v>
      </c>
    </row>
    <row r="50" ht="1.05" customHeight="1">
      <c r="A50" s="493" t="s">
        <v>179</v>
      </c>
      <c r="B50" s="493" t="s">
        <v>180</v>
      </c>
      <c r="C50" s="493" t="s">
        <v>181</v>
      </c>
      <c r="D50" s="493" t="s">
        <v>182</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15"/>
        <v/>
      </c>
      <c r="AQ50" s="129"/>
      <c r="AR50" s="129"/>
      <c r="AS50" s="50">
        <v>1</v>
      </c>
    </row>
    <row r="51" ht="11.5" customHeight="1">
      <c r="A51" s="493" t="s">
        <v>179</v>
      </c>
      <c r="B51" s="493" t="s">
        <v>180</v>
      </c>
      <c r="C51" s="493" t="s">
        <v>181</v>
      </c>
      <c r="D51" s="493" t="s">
        <v>182</v>
      </c>
      <c r="E51" s="505"/>
      <c r="F51" s="505"/>
      <c r="G51" s="505"/>
      <c r="H51" s="505"/>
      <c r="I51" s="517"/>
      <c r="J51" s="512"/>
      <c r="K51" s="493"/>
      <c r="L51" s="495"/>
      <c r="P51" s="132"/>
      <c r="Q51" s="132"/>
      <c r="R51" s="513"/>
      <c r="S51" s="529"/>
      <c r="T51" s="533" t="s">
        <v>413</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15"/>
        <v xml:space="preserve">Добавить вид теплоносителя (параметры теплоносителя)</v>
      </c>
      <c r="AQ51" s="129"/>
      <c r="AR51" s="129"/>
      <c r="AS51" s="50">
        <v>11</v>
      </c>
    </row>
    <row r="52" ht="11.5" customHeight="1">
      <c r="A52" s="493" t="s">
        <v>179</v>
      </c>
      <c r="B52" s="493" t="s">
        <v>180</v>
      </c>
      <c r="C52" s="493" t="s">
        <v>181</v>
      </c>
      <c r="D52" s="493" t="s">
        <v>182</v>
      </c>
      <c r="E52" s="505"/>
      <c r="F52" s="505"/>
      <c r="G52" s="505"/>
      <c r="H52" s="505"/>
      <c r="I52" s="512"/>
      <c r="J52" s="493"/>
      <c r="K52" s="493"/>
      <c r="L52" s="495"/>
      <c r="P52" s="132"/>
      <c r="Q52" s="132"/>
      <c r="R52" s="513"/>
      <c r="S52" s="529"/>
      <c r="T52" s="537" t="s">
        <v>414</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15"/>
        <v xml:space="preserve">Добавить группу потребителей</v>
      </c>
      <c r="AQ52" s="129"/>
      <c r="AR52" s="129"/>
      <c r="AS52" s="50">
        <v>11</v>
      </c>
    </row>
    <row r="53" ht="0" customHeight="1">
      <c r="A53" s="493" t="s">
        <v>179</v>
      </c>
      <c r="B53" s="493" t="s">
        <v>180</v>
      </c>
      <c r="C53" s="493" t="s">
        <v>181</v>
      </c>
      <c r="D53" s="493" t="s">
        <v>182</v>
      </c>
      <c r="E53" s="505"/>
      <c r="F53" s="505"/>
      <c r="G53" s="505"/>
      <c r="H53" s="494"/>
      <c r="I53" s="493"/>
      <c r="J53" s="493"/>
      <c r="K53" s="493"/>
      <c r="L53" s="495"/>
      <c r="M53" s="496"/>
      <c r="N53" s="496"/>
      <c r="O53" s="53"/>
      <c r="P53" s="143"/>
      <c r="Q53" s="536"/>
      <c r="R53" s="497"/>
      <c r="S53" s="606"/>
      <c r="T53" s="607"/>
      <c r="U53" s="608"/>
      <c r="V53" s="608"/>
      <c r="W53" s="608"/>
      <c r="X53" s="608"/>
      <c r="Y53" s="608"/>
      <c r="Z53" s="608"/>
      <c r="AA53" s="608"/>
      <c r="AB53" s="608"/>
      <c r="AC53" s="608"/>
      <c r="AD53" s="608"/>
      <c r="AE53" s="608"/>
      <c r="AF53" s="608"/>
      <c r="AG53" s="608"/>
      <c r="AH53" s="608"/>
      <c r="AI53" s="608"/>
      <c r="AJ53" s="608"/>
      <c r="AK53" s="608"/>
      <c r="AL53" s="608"/>
      <c r="AM53" s="609"/>
      <c r="AO53" s="129"/>
      <c r="AP53" s="129" t="str">
        <f t="shared" si="15"/>
        <v/>
      </c>
      <c r="AQ53" s="129"/>
      <c r="AR53" s="129"/>
      <c r="AS53" s="50">
        <v>0</v>
      </c>
    </row>
    <row r="54" s="57" customFormat="1" ht="1.05" customHeight="1">
      <c r="A54" s="133" t="s">
        <v>179</v>
      </c>
      <c r="B54" s="133" t="s">
        <v>180</v>
      </c>
      <c r="C54" s="133" t="s">
        <v>181</v>
      </c>
      <c r="D54" s="133"/>
      <c r="E54" s="505"/>
      <c r="F54" s="505"/>
      <c r="G54" s="494"/>
      <c r="H54" s="133"/>
      <c r="I54" s="133"/>
      <c r="J54" s="133"/>
      <c r="K54" s="133"/>
      <c r="L54" s="212"/>
      <c r="M54" s="478"/>
      <c r="N54" s="478"/>
      <c r="P54" s="167"/>
      <c r="Q54" s="538"/>
      <c r="R54" s="167"/>
      <c r="S54" s="543"/>
      <c r="T54" s="546" t="s">
        <v>416</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15"/>
        <v xml:space="preserve">Добавить источник для дифференциации</v>
      </c>
      <c r="AQ54" s="129"/>
      <c r="AR54" s="129"/>
      <c r="AS54" s="57">
        <v>1</v>
      </c>
    </row>
    <row r="55" s="57" customFormat="1" ht="1.05" customHeight="1">
      <c r="A55" s="133" t="s">
        <v>179</v>
      </c>
      <c r="B55" s="133" t="s">
        <v>180</v>
      </c>
      <c r="C55" s="133"/>
      <c r="D55" s="133"/>
      <c r="E55" s="505"/>
      <c r="F55" s="494"/>
      <c r="G55" s="133"/>
      <c r="H55" s="133"/>
      <c r="I55" s="133"/>
      <c r="J55" s="133"/>
      <c r="K55" s="133"/>
      <c r="L55" s="212"/>
      <c r="M55" s="542"/>
      <c r="N55" s="542"/>
      <c r="P55" s="167"/>
      <c r="Q55" s="538"/>
      <c r="R55" s="167"/>
      <c r="S55" s="543"/>
      <c r="T55" s="546" t="s">
        <v>238</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15"/>
        <v xml:space="preserve">Добавить централизованную систему для дифференциации</v>
      </c>
      <c r="AQ55" s="129"/>
      <c r="AR55" s="129"/>
      <c r="AS55" s="57">
        <v>1</v>
      </c>
    </row>
    <row r="56" s="57" customFormat="1" ht="1.05" customHeight="1">
      <c r="A56" s="133" t="s">
        <v>179</v>
      </c>
      <c r="B56" s="133"/>
      <c r="C56" s="133"/>
      <c r="D56" s="133"/>
      <c r="E56" s="494"/>
      <c r="F56" s="133"/>
      <c r="G56" s="133"/>
      <c r="H56" s="133"/>
      <c r="I56" s="133"/>
      <c r="J56" s="133"/>
      <c r="K56" s="133"/>
      <c r="L56" s="212"/>
      <c r="M56" s="542"/>
      <c r="N56" s="542"/>
      <c r="O56" s="57"/>
      <c r="P56" s="167"/>
      <c r="Q56" s="538"/>
      <c r="R56" s="167"/>
      <c r="S56" s="543"/>
      <c r="T56" s="546" t="s">
        <v>239</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1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42"/>
      <c r="N57" s="542"/>
      <c r="P57" s="167"/>
      <c r="Q57" s="538"/>
      <c r="R57" s="167"/>
      <c r="S57" s="543"/>
      <c r="T57" s="546" t="s">
        <v>240</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1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3.25"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22</v>
      </c>
    </row>
    <row r="60" ht="30.449999999999999" customHeight="1">
      <c r="O60" s="53"/>
      <c r="T60" s="588"/>
      <c r="U60" s="588"/>
      <c r="V60" s="588"/>
      <c r="W60" s="588"/>
      <c r="X60" s="588"/>
      <c r="Y60" s="588"/>
      <c r="Z60" s="588"/>
      <c r="AA60" s="588"/>
      <c r="AB60" s="588"/>
      <c r="AC60" s="588"/>
      <c r="AD60" s="588"/>
      <c r="AE60" s="588"/>
      <c r="AF60" s="588"/>
      <c r="AG60" s="588"/>
      <c r="AH60" s="588"/>
      <c r="AI60" s="588"/>
      <c r="AJ60" s="588"/>
      <c r="AK60" s="588"/>
      <c r="AL60" s="588"/>
      <c r="AM60" s="588"/>
      <c r="AS60" s="50">
        <v>29</v>
      </c>
    </row>
    <row r="61" ht="42" customHeight="1">
      <c r="O61" s="53"/>
      <c r="T61" s="588"/>
      <c r="U61" s="588"/>
      <c r="V61" s="588"/>
      <c r="W61" s="588"/>
      <c r="X61" s="588"/>
      <c r="Y61" s="588"/>
      <c r="Z61" s="588"/>
      <c r="AA61" s="588"/>
      <c r="AB61" s="588"/>
      <c r="AC61" s="588"/>
      <c r="AD61" s="588"/>
      <c r="AE61" s="588"/>
      <c r="AF61" s="588"/>
      <c r="AG61" s="588"/>
      <c r="AH61" s="588"/>
      <c r="AI61" s="588"/>
      <c r="AJ61" s="588"/>
      <c r="AK61" s="588"/>
      <c r="AL61" s="588"/>
      <c r="AM61" s="588"/>
      <c r="AS61" s="50">
        <v>40</v>
      </c>
    </row>
    <row r="62" ht="14.65" customHeight="1">
      <c r="O62" s="53"/>
      <c r="AS62" s="50">
        <v>14</v>
      </c>
    </row>
    <row r="63" ht="21" customHeight="1">
      <c r="O63" s="53"/>
      <c r="S63" s="490"/>
      <c r="T63" s="290"/>
      <c r="U63" s="588"/>
      <c r="V63" s="588"/>
      <c r="W63" s="588"/>
      <c r="X63" s="588"/>
      <c r="Y63" s="588"/>
      <c r="Z63" s="588"/>
      <c r="AA63" s="588"/>
      <c r="AB63" s="588"/>
      <c r="AC63" s="588"/>
      <c r="AD63" s="588"/>
      <c r="AE63" s="588"/>
      <c r="AF63" s="588"/>
      <c r="AG63" s="588"/>
      <c r="AH63" s="588"/>
      <c r="AI63" s="588"/>
      <c r="AJ63" s="588"/>
      <c r="AK63" s="588"/>
      <c r="AL63" s="588"/>
      <c r="AM63" s="588"/>
      <c r="AS63" s="50">
        <v>20</v>
      </c>
    </row>
    <row r="64" ht="29.25" customHeight="1">
      <c r="O64" s="53"/>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35.649999999999999" customHeight="1">
      <c r="T65" s="588"/>
      <c r="U65" s="588"/>
      <c r="V65" s="588"/>
      <c r="W65" s="588"/>
      <c r="X65" s="588"/>
      <c r="Y65" s="588"/>
      <c r="Z65" s="588"/>
      <c r="AA65" s="588"/>
      <c r="AB65" s="588"/>
      <c r="AC65" s="588"/>
      <c r="AD65" s="588"/>
      <c r="AE65" s="588"/>
      <c r="AF65" s="588"/>
      <c r="AG65" s="588"/>
      <c r="AH65" s="588"/>
      <c r="AI65" s="588"/>
      <c r="AJ65" s="588"/>
      <c r="AK65" s="588"/>
      <c r="AL65" s="588"/>
      <c r="AM65" s="588"/>
      <c r="AS65" s="50">
        <v>34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2">
        <v>3</v>
      </c>
      <c r="R66" s="492">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70049-0090-4968-8168-00750080006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6006B-002C-4677-BE4A-00BF004C006F}"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7004F-0058-439D-8D65-009B00E8001E}"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E008F-0096-40B5-87E5-0001003A0000}"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398</v>
      </c>
      <c r="AO2" s="129"/>
      <c r="AP2" s="129" t="str">
        <f t="shared" ref="AP2:AP9" si="16">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400</v>
      </c>
      <c r="AO3" s="129"/>
      <c r="AP3" s="129" t="str">
        <f t="shared" si="16"/>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401</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402</v>
      </c>
      <c r="AO4" s="129"/>
      <c r="AP4" s="129" t="str">
        <f t="shared" si="16"/>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7"/>
      <c r="S5" s="498" t="e">
        <f>INDEX(PT_DIFFERENTIATION_NUM_IST_TE,MATCH(D5,PT_DIFFERENTIATION_IST_TE_ID,0))</f>
        <v>#VALUE!</v>
      </c>
      <c r="T5" s="511" t="s">
        <v>403</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404</v>
      </c>
      <c r="AO5" s="129"/>
      <c r="AP5" s="129" t="str">
        <f t="shared" si="16"/>
        <v xml:space="preserve">Источник тепловой энергии</v>
      </c>
      <c r="AQ5" s="129"/>
      <c r="AR5" s="129"/>
      <c r="AS5" s="50">
        <v>0</v>
      </c>
    </row>
    <row r="6" ht="14.25" hidden="1" customHeight="1">
      <c r="A6" s="493"/>
      <c r="B6" s="493"/>
      <c r="C6" s="493"/>
      <c r="D6" s="493"/>
      <c r="E6" s="505"/>
      <c r="F6" s="505"/>
      <c r="G6" s="505"/>
      <c r="H6" s="505"/>
      <c r="I6" s="512" t="e">
        <f>S5&amp;".1"</f>
        <v>#VALUE!</v>
      </c>
      <c r="J6" s="493"/>
      <c r="K6" s="493"/>
      <c r="L6" s="495" t="s">
        <v>405</v>
      </c>
      <c r="M6" s="53"/>
      <c r="P6" s="132">
        <v>1</v>
      </c>
      <c r="Q6" s="132"/>
      <c r="R6" s="513"/>
      <c r="S6" s="366"/>
      <c r="T6" s="600"/>
      <c r="U6" s="601"/>
      <c r="V6" s="602"/>
      <c r="W6" s="603"/>
      <c r="X6" s="603"/>
      <c r="Y6" s="603"/>
      <c r="Z6" s="603"/>
      <c r="AA6" s="603"/>
      <c r="AB6" s="603"/>
      <c r="AC6" s="604"/>
      <c r="AD6" s="602"/>
      <c r="AE6" s="603"/>
      <c r="AF6" s="603"/>
      <c r="AG6" s="603"/>
      <c r="AH6" s="603"/>
      <c r="AI6" s="603"/>
      <c r="AJ6" s="603"/>
      <c r="AK6" s="603"/>
      <c r="AL6" s="604"/>
      <c r="AM6" s="605"/>
      <c r="AO6" s="129"/>
      <c r="AP6" s="129" t="str">
        <f t="shared" si="16"/>
        <v/>
      </c>
      <c r="AQ6" s="129"/>
      <c r="AR6" s="129"/>
      <c r="AS6" s="50">
        <v>0</v>
      </c>
    </row>
    <row r="7" ht="21" hidden="1" customHeight="1">
      <c r="A7" s="493"/>
      <c r="B7" s="493"/>
      <c r="C7" s="493"/>
      <c r="D7" s="493"/>
      <c r="E7" s="505"/>
      <c r="F7" s="505"/>
      <c r="G7" s="505"/>
      <c r="H7" s="505"/>
      <c r="I7" s="517"/>
      <c r="J7" s="512" t="e">
        <f>I6&amp;".1"</f>
        <v>#VALUE!</v>
      </c>
      <c r="K7" s="493"/>
      <c r="L7" s="495" t="s">
        <v>408</v>
      </c>
      <c r="M7" s="53"/>
      <c r="N7" s="53"/>
      <c r="P7" s="132"/>
      <c r="Q7" s="132">
        <v>1</v>
      </c>
      <c r="R7" s="518"/>
      <c r="S7" s="498" t="e">
        <f>$J7</f>
        <v>#VALUE!</v>
      </c>
      <c r="T7" s="519" t="s">
        <v>409</v>
      </c>
      <c r="U7" s="500"/>
      <c r="V7" s="445"/>
      <c r="W7" s="515"/>
      <c r="X7" s="515"/>
      <c r="Y7" s="515"/>
      <c r="Z7" s="515"/>
      <c r="AA7" s="515"/>
      <c r="AB7" s="515"/>
      <c r="AC7" s="516"/>
      <c r="AD7" s="445"/>
      <c r="AE7" s="515"/>
      <c r="AF7" s="515"/>
      <c r="AG7" s="515"/>
      <c r="AH7" s="515"/>
      <c r="AI7" s="515"/>
      <c r="AJ7" s="515"/>
      <c r="AK7" s="515"/>
      <c r="AL7" s="516"/>
      <c r="AM7" s="504" t="s">
        <v>410</v>
      </c>
      <c r="AO7" s="129"/>
      <c r="AP7" s="129" t="str">
        <f t="shared" si="16"/>
        <v xml:space="preserve">Группа потребителей</v>
      </c>
      <c r="AQ7" s="129"/>
      <c r="AR7" s="129"/>
      <c r="AS7" s="50">
        <v>0</v>
      </c>
    </row>
    <row r="8" ht="21" hidden="1" customHeight="1">
      <c r="A8" s="493"/>
      <c r="B8" s="493"/>
      <c r="C8" s="493"/>
      <c r="D8" s="493"/>
      <c r="E8" s="505"/>
      <c r="F8" s="505"/>
      <c r="G8" s="505"/>
      <c r="H8" s="505"/>
      <c r="I8" s="517"/>
      <c r="J8" s="517"/>
      <c r="K8" s="512" t="e">
        <f>J7&amp;".1"</f>
        <v>#VALUE!</v>
      </c>
      <c r="L8" s="495" t="s">
        <v>411</v>
      </c>
      <c r="M8" s="53"/>
      <c r="N8" s="53"/>
      <c r="O8" s="53"/>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412</v>
      </c>
      <c r="AN8" s="57" t="e">
        <f>STRCHECKDATE(V9:AL9)</f>
        <v>#NAME?</v>
      </c>
      <c r="AO8" s="129"/>
      <c r="AP8" s="129" t="str">
        <f t="shared" si="16"/>
        <v/>
      </c>
      <c r="AQ8" s="129"/>
      <c r="AR8" s="129"/>
      <c r="AS8" s="50">
        <v>0</v>
      </c>
    </row>
    <row r="9" ht="14.2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16"/>
        <v/>
      </c>
      <c r="AQ9" s="129"/>
      <c r="AR9" s="129"/>
      <c r="AS9" s="50">
        <v>0</v>
      </c>
    </row>
    <row r="10" ht="15" hidden="1" customHeight="1">
      <c r="A10" s="493"/>
      <c r="B10" s="493"/>
      <c r="C10" s="493"/>
      <c r="D10" s="493"/>
      <c r="E10" s="505"/>
      <c r="F10" s="505"/>
      <c r="G10" s="505"/>
      <c r="H10" s="505"/>
      <c r="I10" s="517"/>
      <c r="J10" s="512"/>
      <c r="K10" s="493"/>
      <c r="L10" s="495"/>
      <c r="M10" s="53"/>
      <c r="N10" s="53"/>
      <c r="P10" s="132"/>
      <c r="Q10" s="132"/>
      <c r="R10" s="513"/>
      <c r="S10" s="529"/>
      <c r="T10" s="533" t="s">
        <v>413</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17">IF(T10="","",T10)</f>
        <v xml:space="preserve">Добавить вид теплоносителя (параметры теплоносителя)</v>
      </c>
      <c r="AQ10" s="129"/>
      <c r="AR10" s="129"/>
      <c r="AS10" s="50">
        <v>0</v>
      </c>
    </row>
    <row r="11" ht="11.25" hidden="1" customHeight="1">
      <c r="A11" s="493"/>
      <c r="B11" s="493"/>
      <c r="C11" s="493"/>
      <c r="D11" s="493"/>
      <c r="E11" s="505"/>
      <c r="F11" s="505"/>
      <c r="G11" s="505"/>
      <c r="H11" s="505"/>
      <c r="I11" s="512"/>
      <c r="J11" s="493"/>
      <c r="K11" s="493"/>
      <c r="L11" s="495"/>
      <c r="M11" s="53"/>
      <c r="P11" s="132"/>
      <c r="Q11" s="132"/>
      <c r="R11" s="513"/>
      <c r="S11" s="529"/>
      <c r="T11" s="537" t="s">
        <v>414</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17"/>
        <v xml:space="preserve">Добавить группу потребителей</v>
      </c>
      <c r="AQ11" s="129"/>
      <c r="AR11" s="129"/>
      <c r="AS11" s="50">
        <v>0</v>
      </c>
    </row>
    <row r="12" ht="14.25" hidden="1" customHeight="1">
      <c r="A12" s="493"/>
      <c r="B12" s="493"/>
      <c r="C12" s="493"/>
      <c r="D12" s="493"/>
      <c r="E12" s="505"/>
      <c r="F12" s="505"/>
      <c r="G12" s="505"/>
      <c r="H12" s="494"/>
      <c r="I12" s="493"/>
      <c r="J12" s="493"/>
      <c r="K12" s="493"/>
      <c r="L12" s="495"/>
      <c r="M12" s="496"/>
      <c r="N12" s="496"/>
      <c r="O12" s="53"/>
      <c r="P12" s="143"/>
      <c r="Q12" s="536"/>
      <c r="R12" s="497"/>
      <c r="S12" s="606"/>
      <c r="T12" s="607"/>
      <c r="U12" s="608"/>
      <c r="V12" s="608"/>
      <c r="W12" s="608"/>
      <c r="X12" s="608"/>
      <c r="Y12" s="608"/>
      <c r="Z12" s="608"/>
      <c r="AA12" s="608"/>
      <c r="AB12" s="608"/>
      <c r="AC12" s="608"/>
      <c r="AD12" s="608"/>
      <c r="AE12" s="608"/>
      <c r="AF12" s="608"/>
      <c r="AG12" s="608"/>
      <c r="AH12" s="608"/>
      <c r="AI12" s="608"/>
      <c r="AJ12" s="608"/>
      <c r="AK12" s="608"/>
      <c r="AL12" s="608"/>
      <c r="AM12" s="609"/>
      <c r="AO12" s="129"/>
      <c r="AP12" s="129" t="str">
        <f t="shared" si="17"/>
        <v/>
      </c>
      <c r="AQ12" s="129"/>
      <c r="AR12" s="129"/>
      <c r="AS12" s="50">
        <v>0</v>
      </c>
    </row>
    <row r="13" s="57" customFormat="1" ht="14.25" hidden="1" customHeight="1">
      <c r="A13" s="133"/>
      <c r="B13" s="133"/>
      <c r="C13" s="133"/>
      <c r="D13" s="133"/>
      <c r="E13" s="505"/>
      <c r="F13" s="505"/>
      <c r="G13" s="494"/>
      <c r="H13" s="133"/>
      <c r="I13" s="133"/>
      <c r="J13" s="133"/>
      <c r="K13" s="133"/>
      <c r="L13" s="212"/>
      <c r="M13" s="478"/>
      <c r="N13" s="478"/>
      <c r="P13" s="167"/>
      <c r="Q13" s="538"/>
      <c r="R13" s="167"/>
      <c r="S13" s="539"/>
      <c r="T13" s="540" t="s">
        <v>416</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17"/>
        <v xml:space="preserve">Добавить источник для дифференциации</v>
      </c>
      <c r="AQ13" s="129"/>
      <c r="AR13" s="129"/>
      <c r="AS13" s="57">
        <v>0</v>
      </c>
    </row>
    <row r="14" s="57" customFormat="1" ht="14.25" hidden="1" customHeight="1">
      <c r="A14" s="133"/>
      <c r="B14" s="133"/>
      <c r="C14" s="133"/>
      <c r="D14" s="133"/>
      <c r="E14" s="505"/>
      <c r="F14" s="494"/>
      <c r="G14" s="133"/>
      <c r="H14" s="133"/>
      <c r="I14" s="133"/>
      <c r="J14" s="133"/>
      <c r="K14" s="133"/>
      <c r="L14" s="212"/>
      <c r="M14" s="542"/>
      <c r="N14" s="542"/>
      <c r="P14" s="167"/>
      <c r="Q14" s="538"/>
      <c r="R14" s="167"/>
      <c r="S14" s="543"/>
      <c r="T14" s="544" t="s">
        <v>238</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17"/>
        <v xml:space="preserve">Добавить централизованную систему для дифференциации</v>
      </c>
      <c r="AQ14" s="129"/>
      <c r="AR14" s="129"/>
      <c r="AS14" s="57">
        <v>0</v>
      </c>
    </row>
    <row r="15" s="57" customFormat="1" ht="14.25" hidden="1" customHeight="1">
      <c r="A15" s="133"/>
      <c r="B15" s="133"/>
      <c r="C15" s="133"/>
      <c r="D15" s="133"/>
      <c r="E15" s="494"/>
      <c r="F15" s="133"/>
      <c r="G15" s="133"/>
      <c r="H15" s="133"/>
      <c r="I15" s="133"/>
      <c r="J15" s="133"/>
      <c r="K15" s="133"/>
      <c r="L15" s="212"/>
      <c r="M15" s="542"/>
      <c r="N15" s="542"/>
      <c r="P15" s="167"/>
      <c r="Q15" s="538"/>
      <c r="R15" s="167"/>
      <c r="S15" s="543"/>
      <c r="T15" s="546" t="s">
        <v>239</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17"/>
        <v xml:space="preserve">Добавить территорию для дифференциации</v>
      </c>
      <c r="AQ15" s="129"/>
      <c r="AR15" s="129"/>
      <c r="AS15" s="57">
        <v>0</v>
      </c>
    </row>
    <row r="16" ht="14.25" hidden="1" customHeight="1">
      <c r="AC16" s="50"/>
      <c r="AK16" s="50"/>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K19" s="50"/>
      <c r="AS19" s="50">
        <v>0</v>
      </c>
    </row>
    <row r="20" s="53" customFormat="1" ht="22.5" hidden="1" customHeight="1">
      <c r="L20" s="113"/>
      <c r="M20" s="61"/>
      <c r="N20" s="61"/>
      <c r="O20" s="551" t="s">
        <v>417</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14.25" hidden="1" customHeight="1">
      <c r="L22" s="113"/>
      <c r="M22" s="61"/>
      <c r="N22" s="61"/>
      <c r="O22" s="495" t="s">
        <v>418</v>
      </c>
      <c r="P22" s="61"/>
      <c r="Q22" s="552"/>
      <c r="R22" s="552"/>
      <c r="S22" s="496"/>
      <c r="T22" s="53" t="s">
        <v>419</v>
      </c>
      <c r="AA22" s="151" t="s">
        <v>420</v>
      </c>
      <c r="AC22" s="151" t="s">
        <v>421</v>
      </c>
      <c r="AD22" s="53" t="s">
        <v>419</v>
      </c>
      <c r="AI22" s="151" t="s">
        <v>422</v>
      </c>
      <c r="AK22" s="151" t="s">
        <v>421</v>
      </c>
      <c r="AN22" s="57"/>
      <c r="AO22" s="57"/>
      <c r="AP22" s="57"/>
      <c r="AQ22" s="57"/>
      <c r="AR22" s="57"/>
      <c r="AS22" s="53">
        <v>0</v>
      </c>
    </row>
    <row r="23" ht="14.25" hidden="1" customHeight="1">
      <c r="O23" s="495"/>
      <c r="AS23" s="50">
        <v>0</v>
      </c>
    </row>
    <row r="24" ht="14.25" hidden="1" customHeight="1">
      <c r="O24" s="495"/>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53.5" customHeight="1">
      <c r="Q26" s="553"/>
      <c r="R26" s="553"/>
      <c r="S26" s="466"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6"/>
      <c r="U26" s="466"/>
      <c r="V26" s="466"/>
      <c r="W26" s="466"/>
      <c r="X26" s="466"/>
      <c r="Y26" s="466"/>
      <c r="Z26" s="466"/>
      <c r="AA26" s="466"/>
      <c r="AB26" s="466"/>
      <c r="AC26" s="466"/>
      <c r="AD26" s="466"/>
      <c r="AE26" s="466"/>
      <c r="AF26" s="466"/>
      <c r="AG26" s="466"/>
      <c r="AH26" s="466"/>
      <c r="AI26" s="466"/>
      <c r="AJ26" s="466"/>
      <c r="AK26" s="240"/>
      <c r="AS26" s="50">
        <v>51</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423</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424</v>
      </c>
      <c r="T31" s="556"/>
      <c r="U31" s="557"/>
      <c r="V31" s="558" t="str">
        <f>IF(TITLE_NUMBER_PR_CHANGE="",IF(TITLE_NUMBER_PR="","",TITLE_NUMBER_PR),TITLE_NUMBER_PR_CHANGE)</f>
        <v>ПГ/01/950</v>
      </c>
      <c r="W31" s="558"/>
      <c r="X31" s="558"/>
      <c r="Y31" s="558"/>
      <c r="Z31" s="558"/>
      <c r="AA31" s="558"/>
      <c r="AB31" s="558"/>
      <c r="AC31" s="50"/>
      <c r="AD31" s="558" t="str">
        <f>IF(TITLE_NUMBER_PR_CHANGE="",IF(TITLE_NUMBER_PR="","",TITLE_NUMBER_PR),TITLE_NUMBER_PR_CHANGE)</f>
        <v>ПГ/01/950</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425</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25.5" customHeight="1">
      <c r="A35" s="151"/>
      <c r="B35" s="151"/>
      <c r="C35" s="151"/>
      <c r="D35" s="151"/>
      <c r="E35" s="151"/>
      <c r="F35" s="151"/>
      <c r="G35" s="151"/>
      <c r="H35" s="151"/>
      <c r="I35" s="151"/>
      <c r="J35" s="151"/>
      <c r="K35" s="151"/>
      <c r="L35" s="495"/>
      <c r="M35" s="151"/>
      <c r="N35" s="151"/>
      <c r="O35" s="151"/>
      <c r="S35" s="556" t="s">
        <v>426</v>
      </c>
      <c r="T35" s="556"/>
      <c r="U35" s="557"/>
      <c r="V35" s="558" t="str">
        <f>IF(TITLE_NUMBER_PR_CHANGE="",IF(TITLE_NUMBER_PR="","",TITLE_NUMBER_PR),TITLE_NUMBER_PR_CHANGE)</f>
        <v>ПГ/01/950</v>
      </c>
      <c r="W35" s="558"/>
      <c r="X35" s="558"/>
      <c r="Y35" s="558"/>
      <c r="Z35" s="558"/>
      <c r="AA35" s="558"/>
      <c r="AB35" s="558"/>
      <c r="AC35" s="50"/>
      <c r="AD35" s="558" t="str">
        <f>IF(TITLE_NUMBER_PR_CHANGE="",IF(TITLE_NUMBER_PR="","",TITLE_NUMBER_PR),TITLE_NUMBER_PR_CHANGE)</f>
        <v>ПГ/01/950</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427</v>
      </c>
      <c r="AD36" s="50"/>
      <c r="AE36" s="50"/>
      <c r="AF36" s="50"/>
      <c r="AG36" s="50"/>
      <c r="AH36" s="50"/>
      <c r="AI36" s="50"/>
      <c r="AJ36" s="50"/>
      <c r="AK36" s="57" t="s">
        <v>427</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302</v>
      </c>
      <c r="T38" s="157"/>
      <c r="U38" s="157"/>
      <c r="V38" s="157"/>
      <c r="W38" s="157"/>
      <c r="X38" s="157"/>
      <c r="Y38" s="157"/>
      <c r="Z38" s="157"/>
      <c r="AA38" s="157"/>
      <c r="AB38" s="157"/>
      <c r="AC38" s="157"/>
      <c r="AD38" s="157"/>
      <c r="AE38" s="157"/>
      <c r="AF38" s="157"/>
      <c r="AG38" s="157"/>
      <c r="AH38" s="157"/>
      <c r="AI38" s="157"/>
      <c r="AJ38" s="157"/>
      <c r="AK38" s="157"/>
      <c r="AL38" s="157"/>
      <c r="AM38" s="157" t="s">
        <v>303</v>
      </c>
      <c r="AS38" s="50">
        <v>14</v>
      </c>
    </row>
    <row r="39" ht="14.65" customHeight="1">
      <c r="Q39" s="553"/>
      <c r="R39" s="553"/>
      <c r="S39" s="498" t="s">
        <v>88</v>
      </c>
      <c r="T39" s="362" t="s">
        <v>428</v>
      </c>
      <c r="U39" s="563"/>
      <c r="V39" s="564" t="s">
        <v>429</v>
      </c>
      <c r="W39" s="565"/>
      <c r="X39" s="565"/>
      <c r="Y39" s="565"/>
      <c r="Z39" s="565"/>
      <c r="AA39" s="565"/>
      <c r="AB39" s="566"/>
      <c r="AC39" s="567" t="s">
        <v>430</v>
      </c>
      <c r="AD39" s="564" t="s">
        <v>429</v>
      </c>
      <c r="AE39" s="565"/>
      <c r="AF39" s="565"/>
      <c r="AG39" s="565"/>
      <c r="AH39" s="565"/>
      <c r="AI39" s="565"/>
      <c r="AJ39" s="566"/>
      <c r="AK39" s="567" t="s">
        <v>431</v>
      </c>
      <c r="AL39" s="568" t="s">
        <v>432</v>
      </c>
      <c r="AM39" s="157"/>
      <c r="AS39" s="50">
        <v>14</v>
      </c>
    </row>
    <row r="40" ht="35.649999999999999" customHeight="1">
      <c r="Q40" s="553"/>
      <c r="R40" s="553"/>
      <c r="S40" s="498"/>
      <c r="T40" s="362"/>
      <c r="U40" s="569"/>
      <c r="V40" s="324" t="s">
        <v>433</v>
      </c>
      <c r="W40" s="570"/>
      <c r="X40" s="73" t="s">
        <v>435</v>
      </c>
      <c r="Y40" s="72"/>
      <c r="Z40" s="73" t="s">
        <v>436</v>
      </c>
      <c r="AA40" s="145"/>
      <c r="AB40" s="72"/>
      <c r="AC40" s="571"/>
      <c r="AD40" s="324" t="s">
        <v>449</v>
      </c>
      <c r="AE40" s="570"/>
      <c r="AF40" s="73" t="s">
        <v>435</v>
      </c>
      <c r="AG40" s="72"/>
      <c r="AH40" s="73" t="s">
        <v>436</v>
      </c>
      <c r="AI40" s="145"/>
      <c r="AJ40" s="72"/>
      <c r="AK40" s="571"/>
      <c r="AL40" s="572"/>
      <c r="AM40" s="157"/>
      <c r="AS40" s="50">
        <v>34</v>
      </c>
    </row>
    <row r="41" ht="35.649999999999999" customHeight="1">
      <c r="A41" s="151"/>
      <c r="B41" s="151" t="s">
        <v>135</v>
      </c>
      <c r="C41" s="151" t="s">
        <v>136</v>
      </c>
      <c r="D41" s="151" t="s">
        <v>137</v>
      </c>
      <c r="E41" s="495" t="s">
        <v>437</v>
      </c>
      <c r="F41" s="495" t="s">
        <v>438</v>
      </c>
      <c r="G41" s="495" t="s">
        <v>439</v>
      </c>
      <c r="H41" s="495" t="s">
        <v>440</v>
      </c>
      <c r="I41" s="495" t="s">
        <v>441</v>
      </c>
      <c r="J41" s="495" t="s">
        <v>442</v>
      </c>
      <c r="K41" s="495" t="s">
        <v>443</v>
      </c>
      <c r="L41" s="495" t="s">
        <v>418</v>
      </c>
      <c r="Q41" s="553"/>
      <c r="R41" s="553"/>
      <c r="S41" s="498"/>
      <c r="T41" s="362"/>
      <c r="U41" s="573"/>
      <c r="V41" s="162"/>
      <c r="W41" s="574"/>
      <c r="X41" s="246" t="s">
        <v>444</v>
      </c>
      <c r="Y41" s="246" t="s">
        <v>445</v>
      </c>
      <c r="Z41" s="246" t="s">
        <v>446</v>
      </c>
      <c r="AA41" s="429" t="s">
        <v>447</v>
      </c>
      <c r="AB41" s="431"/>
      <c r="AC41" s="575"/>
      <c r="AD41" s="162"/>
      <c r="AE41" s="574"/>
      <c r="AF41" s="246" t="s">
        <v>444</v>
      </c>
      <c r="AG41" s="246" t="s">
        <v>445</v>
      </c>
      <c r="AH41" s="246" t="s">
        <v>446</v>
      </c>
      <c r="AI41" s="429" t="s">
        <v>447</v>
      </c>
      <c r="AJ41" s="431"/>
      <c r="AK41" s="575"/>
      <c r="AL41" s="576"/>
      <c r="AM41" s="157"/>
      <c r="AS41" s="50">
        <v>34</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493" t="s">
        <v>185</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7"/>
        <v xml:space="preserve">Наименование тарифа</v>
      </c>
      <c r="AQ43" s="129"/>
      <c r="AR43" s="129"/>
      <c r="AS43" s="50">
        <v>21</v>
      </c>
    </row>
    <row r="44" ht="22" customHeight="1">
      <c r="A44" s="493" t="s">
        <v>185</v>
      </c>
      <c r="B44" s="493" t="s">
        <v>186</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399</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400</v>
      </c>
      <c r="AO44" s="129"/>
      <c r="AP44" s="129" t="str">
        <f t="shared" si="17"/>
        <v xml:space="preserve">Территория действия тарифа</v>
      </c>
      <c r="AQ44" s="129"/>
      <c r="AR44" s="129"/>
      <c r="AS44" s="50">
        <v>21</v>
      </c>
    </row>
    <row r="45" ht="24" customHeight="1">
      <c r="A45" s="493" t="s">
        <v>185</v>
      </c>
      <c r="B45" s="493" t="s">
        <v>186</v>
      </c>
      <c r="C45" s="493" t="s">
        <v>187</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401</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402</v>
      </c>
      <c r="AO45" s="129"/>
      <c r="AP45" s="129" t="str">
        <f t="shared" si="17"/>
        <v xml:space="preserve">Наименование системы теплоснабжения</v>
      </c>
      <c r="AQ45" s="129"/>
      <c r="AR45" s="129"/>
      <c r="AS45" s="50">
        <v>23</v>
      </c>
    </row>
    <row r="46" ht="22" customHeight="1">
      <c r="A46" s="493" t="s">
        <v>185</v>
      </c>
      <c r="B46" s="493" t="s">
        <v>186</v>
      </c>
      <c r="C46" s="493" t="s">
        <v>187</v>
      </c>
      <c r="D46" s="493" t="s">
        <v>188</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403</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404</v>
      </c>
      <c r="AO46" s="129"/>
      <c r="AP46" s="129" t="str">
        <f t="shared" si="17"/>
        <v xml:space="preserve">Источник тепловой энергии</v>
      </c>
      <c r="AQ46" s="129"/>
      <c r="AR46" s="129"/>
      <c r="AS46" s="50">
        <v>21</v>
      </c>
    </row>
    <row r="47" s="57" customFormat="1" ht="0" customHeight="1">
      <c r="A47" s="133" t="s">
        <v>185</v>
      </c>
      <c r="B47" s="133" t="s">
        <v>186</v>
      </c>
      <c r="C47" s="133" t="s">
        <v>187</v>
      </c>
      <c r="D47" s="133" t="s">
        <v>188</v>
      </c>
      <c r="E47" s="505"/>
      <c r="F47" s="505"/>
      <c r="G47" s="505"/>
      <c r="H47" s="505"/>
      <c r="I47" s="512" t="str">
        <f>S46&amp;".1"</f>
        <v>....1</v>
      </c>
      <c r="J47" s="133"/>
      <c r="K47" s="133"/>
      <c r="L47" s="212" t="s">
        <v>405</v>
      </c>
      <c r="M47" s="610"/>
      <c r="N47" s="610"/>
      <c r="O47" s="610"/>
      <c r="P47" s="132">
        <v>1</v>
      </c>
      <c r="Q47" s="132"/>
      <c r="R47" s="513"/>
      <c r="S47" s="366"/>
      <c r="T47" s="600"/>
      <c r="U47" s="601"/>
      <c r="V47" s="602"/>
      <c r="W47" s="603"/>
      <c r="X47" s="603"/>
      <c r="Y47" s="603"/>
      <c r="Z47" s="603"/>
      <c r="AA47" s="603"/>
      <c r="AB47" s="603"/>
      <c r="AC47" s="604"/>
      <c r="AD47" s="602"/>
      <c r="AE47" s="603"/>
      <c r="AF47" s="603"/>
      <c r="AG47" s="603"/>
      <c r="AH47" s="603"/>
      <c r="AI47" s="603"/>
      <c r="AJ47" s="603"/>
      <c r="AK47" s="603"/>
      <c r="AL47" s="604"/>
      <c r="AM47" s="605"/>
      <c r="AO47" s="129"/>
      <c r="AP47" s="129" t="str">
        <f t="shared" si="17"/>
        <v/>
      </c>
      <c r="AQ47" s="129"/>
      <c r="AR47" s="129"/>
      <c r="AS47" s="57">
        <v>0</v>
      </c>
    </row>
    <row r="48" ht="22" customHeight="1">
      <c r="A48" s="493" t="s">
        <v>185</v>
      </c>
      <c r="B48" s="493" t="s">
        <v>186</v>
      </c>
      <c r="C48" s="493" t="s">
        <v>187</v>
      </c>
      <c r="D48" s="493" t="s">
        <v>188</v>
      </c>
      <c r="E48" s="505"/>
      <c r="F48" s="505"/>
      <c r="G48" s="505"/>
      <c r="H48" s="505"/>
      <c r="I48" s="517"/>
      <c r="J48" s="512" t="str">
        <f>S46&amp;".1"</f>
        <v>....1</v>
      </c>
      <c r="K48" s="493"/>
      <c r="L48" s="495" t="s">
        <v>408</v>
      </c>
      <c r="P48" s="132"/>
      <c r="Q48" s="132">
        <v>1</v>
      </c>
      <c r="R48" s="518"/>
      <c r="S48" s="498" t="str">
        <f>$J48</f>
        <v>....1</v>
      </c>
      <c r="T48" s="519" t="s">
        <v>409</v>
      </c>
      <c r="U48" s="500"/>
      <c r="V48" s="445"/>
      <c r="W48" s="515"/>
      <c r="X48" s="515"/>
      <c r="Y48" s="515"/>
      <c r="Z48" s="515"/>
      <c r="AA48" s="515"/>
      <c r="AB48" s="515"/>
      <c r="AC48" s="516"/>
      <c r="AD48" s="445"/>
      <c r="AE48" s="515"/>
      <c r="AF48" s="515"/>
      <c r="AG48" s="515"/>
      <c r="AH48" s="515"/>
      <c r="AI48" s="515"/>
      <c r="AJ48" s="515"/>
      <c r="AK48" s="515"/>
      <c r="AL48" s="516"/>
      <c r="AM48" s="504" t="s">
        <v>410</v>
      </c>
      <c r="AO48" s="129"/>
      <c r="AP48" s="129" t="str">
        <f t="shared" si="17"/>
        <v xml:space="preserve">Группа потребителей</v>
      </c>
      <c r="AQ48" s="129"/>
      <c r="AR48" s="129"/>
      <c r="AS48" s="50">
        <v>21</v>
      </c>
    </row>
    <row r="49" ht="22" customHeight="1">
      <c r="A49" s="493" t="s">
        <v>185</v>
      </c>
      <c r="B49" s="493" t="s">
        <v>186</v>
      </c>
      <c r="C49" s="493" t="s">
        <v>187</v>
      </c>
      <c r="D49" s="493" t="s">
        <v>188</v>
      </c>
      <c r="E49" s="505"/>
      <c r="F49" s="505"/>
      <c r="G49" s="505"/>
      <c r="H49" s="505"/>
      <c r="I49" s="517"/>
      <c r="J49" s="517"/>
      <c r="K49" s="512" t="str">
        <f>J48&amp;".1"</f>
        <v>....1.1</v>
      </c>
      <c r="L49" s="495" t="s">
        <v>411</v>
      </c>
      <c r="P49" s="132"/>
      <c r="Q49" s="132"/>
      <c r="R49" s="518">
        <v>1</v>
      </c>
      <c r="S49" s="498" t="str">
        <f>$K49</f>
        <v>....1.1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450</v>
      </c>
      <c r="AN49" s="57" t="e">
        <f>STRCHECKDATE(V50:AL50)</f>
        <v>#NAME?</v>
      </c>
      <c r="AO49" s="129"/>
      <c r="AP49" s="129" t="str">
        <f t="shared" si="17"/>
        <v/>
      </c>
      <c r="AQ49" s="129"/>
      <c r="AR49" s="129"/>
      <c r="AS49" s="50">
        <v>21</v>
      </c>
    </row>
    <row r="50" ht="0" customHeight="1">
      <c r="A50" s="493" t="s">
        <v>185</v>
      </c>
      <c r="B50" s="493" t="s">
        <v>186</v>
      </c>
      <c r="C50" s="493" t="s">
        <v>187</v>
      </c>
      <c r="D50" s="493" t="s">
        <v>188</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17"/>
        <v/>
      </c>
      <c r="AQ50" s="129"/>
      <c r="AR50" s="129"/>
      <c r="AS50" s="50">
        <v>0</v>
      </c>
    </row>
    <row r="51" ht="11.5" customHeight="1">
      <c r="A51" s="493" t="s">
        <v>185</v>
      </c>
      <c r="B51" s="493" t="s">
        <v>186</v>
      </c>
      <c r="C51" s="493" t="s">
        <v>187</v>
      </c>
      <c r="D51" s="493" t="s">
        <v>188</v>
      </c>
      <c r="E51" s="505"/>
      <c r="F51" s="505"/>
      <c r="G51" s="505"/>
      <c r="H51" s="505"/>
      <c r="I51" s="517"/>
      <c r="J51" s="512"/>
      <c r="K51" s="493"/>
      <c r="L51" s="495"/>
      <c r="P51" s="132"/>
      <c r="Q51" s="132"/>
      <c r="R51" s="513"/>
      <c r="S51" s="529"/>
      <c r="T51" s="533" t="s">
        <v>413</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17"/>
        <v xml:space="preserve">Добавить вид теплоносителя (параметры теплоносителя)</v>
      </c>
      <c r="AQ51" s="129"/>
      <c r="AR51" s="129"/>
      <c r="AS51" s="50">
        <v>11</v>
      </c>
    </row>
    <row r="52" ht="11.5" customHeight="1">
      <c r="A52" s="493" t="s">
        <v>185</v>
      </c>
      <c r="B52" s="493" t="s">
        <v>186</v>
      </c>
      <c r="C52" s="493" t="s">
        <v>187</v>
      </c>
      <c r="D52" s="493" t="s">
        <v>188</v>
      </c>
      <c r="E52" s="505"/>
      <c r="F52" s="505"/>
      <c r="G52" s="505"/>
      <c r="H52" s="505"/>
      <c r="I52" s="512"/>
      <c r="J52" s="493"/>
      <c r="K52" s="493"/>
      <c r="L52" s="495"/>
      <c r="P52" s="132"/>
      <c r="Q52" s="132"/>
      <c r="R52" s="513"/>
      <c r="S52" s="529"/>
      <c r="T52" s="537" t="s">
        <v>414</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17"/>
        <v xml:space="preserve">Добавить группу потребителей</v>
      </c>
      <c r="AQ52" s="129"/>
      <c r="AR52" s="129"/>
      <c r="AS52" s="50">
        <v>11</v>
      </c>
    </row>
    <row r="53" ht="0" customHeight="1">
      <c r="A53" s="493" t="s">
        <v>185</v>
      </c>
      <c r="B53" s="493" t="s">
        <v>186</v>
      </c>
      <c r="C53" s="493" t="s">
        <v>187</v>
      </c>
      <c r="D53" s="493" t="s">
        <v>188</v>
      </c>
      <c r="E53" s="505"/>
      <c r="F53" s="505"/>
      <c r="G53" s="505"/>
      <c r="H53" s="494"/>
      <c r="I53" s="493"/>
      <c r="J53" s="493"/>
      <c r="K53" s="493"/>
      <c r="L53" s="495"/>
      <c r="M53" s="496"/>
      <c r="N53" s="496"/>
      <c r="O53" s="53"/>
      <c r="P53" s="143"/>
      <c r="Q53" s="536"/>
      <c r="R53" s="497"/>
      <c r="S53" s="606"/>
      <c r="T53" s="607"/>
      <c r="U53" s="608"/>
      <c r="V53" s="608"/>
      <c r="W53" s="608"/>
      <c r="X53" s="608"/>
      <c r="Y53" s="608"/>
      <c r="Z53" s="608"/>
      <c r="AA53" s="608"/>
      <c r="AB53" s="608"/>
      <c r="AC53" s="608"/>
      <c r="AD53" s="608"/>
      <c r="AE53" s="608"/>
      <c r="AF53" s="608"/>
      <c r="AG53" s="608"/>
      <c r="AH53" s="608"/>
      <c r="AI53" s="608"/>
      <c r="AJ53" s="608"/>
      <c r="AK53" s="608"/>
      <c r="AL53" s="608"/>
      <c r="AM53" s="609"/>
      <c r="AO53" s="129"/>
      <c r="AP53" s="129" t="str">
        <f t="shared" si="17"/>
        <v/>
      </c>
      <c r="AQ53" s="129"/>
      <c r="AR53" s="129"/>
      <c r="AS53" s="50">
        <v>0</v>
      </c>
    </row>
    <row r="54" s="57" customFormat="1" ht="0" customHeight="1">
      <c r="A54" s="133" t="s">
        <v>185</v>
      </c>
      <c r="B54" s="133" t="s">
        <v>186</v>
      </c>
      <c r="C54" s="133" t="s">
        <v>187</v>
      </c>
      <c r="D54" s="133"/>
      <c r="E54" s="505"/>
      <c r="F54" s="505"/>
      <c r="G54" s="494"/>
      <c r="H54" s="133"/>
      <c r="I54" s="133"/>
      <c r="J54" s="133"/>
      <c r="K54" s="133"/>
      <c r="L54" s="212"/>
      <c r="M54" s="478"/>
      <c r="N54" s="478"/>
      <c r="P54" s="167"/>
      <c r="Q54" s="538"/>
      <c r="R54" s="167"/>
      <c r="S54" s="543"/>
      <c r="T54" s="546" t="s">
        <v>416</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17"/>
        <v xml:space="preserve">Добавить источник для дифференциации</v>
      </c>
      <c r="AQ54" s="129"/>
      <c r="AR54" s="129"/>
      <c r="AS54" s="57">
        <v>0</v>
      </c>
    </row>
    <row r="55" s="57" customFormat="1" ht="0" customHeight="1">
      <c r="A55" s="133" t="s">
        <v>185</v>
      </c>
      <c r="B55" s="133" t="s">
        <v>186</v>
      </c>
      <c r="C55" s="133"/>
      <c r="D55" s="133"/>
      <c r="E55" s="505"/>
      <c r="F55" s="494"/>
      <c r="G55" s="133"/>
      <c r="H55" s="133"/>
      <c r="I55" s="133"/>
      <c r="J55" s="133"/>
      <c r="K55" s="133"/>
      <c r="L55" s="212"/>
      <c r="M55" s="542"/>
      <c r="N55" s="542"/>
      <c r="P55" s="167"/>
      <c r="Q55" s="538"/>
      <c r="R55" s="167"/>
      <c r="S55" s="543"/>
      <c r="T55" s="546" t="s">
        <v>238</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17"/>
        <v xml:space="preserve">Добавить централизованную систему для дифференциации</v>
      </c>
      <c r="AQ55" s="129"/>
      <c r="AR55" s="129"/>
      <c r="AS55" s="57">
        <v>0</v>
      </c>
    </row>
    <row r="56" s="57" customFormat="1" ht="0" customHeight="1">
      <c r="A56" s="133" t="s">
        <v>185</v>
      </c>
      <c r="B56" s="133"/>
      <c r="C56" s="133"/>
      <c r="D56" s="133"/>
      <c r="E56" s="494"/>
      <c r="F56" s="133"/>
      <c r="G56" s="133"/>
      <c r="H56" s="133"/>
      <c r="I56" s="133"/>
      <c r="J56" s="133"/>
      <c r="K56" s="133"/>
      <c r="L56" s="212"/>
      <c r="M56" s="542"/>
      <c r="N56" s="542"/>
      <c r="O56" s="57"/>
      <c r="P56" s="167"/>
      <c r="Q56" s="538"/>
      <c r="R56" s="167"/>
      <c r="S56" s="543"/>
      <c r="T56" s="546" t="s">
        <v>239</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17"/>
        <v xml:space="preserve">Добавить территорию для дифференциации</v>
      </c>
      <c r="AQ56" s="129"/>
      <c r="AR56" s="129"/>
      <c r="AS56" s="57">
        <v>0</v>
      </c>
    </row>
    <row r="57" s="57" customFormat="1" ht="4.2000000000000002" customHeight="1">
      <c r="A57" s="133"/>
      <c r="B57" s="133"/>
      <c r="C57" s="133"/>
      <c r="D57" s="133"/>
      <c r="E57" s="133"/>
      <c r="F57" s="133"/>
      <c r="G57" s="133"/>
      <c r="H57" s="133"/>
      <c r="I57" s="133"/>
      <c r="J57" s="133"/>
      <c r="K57" s="133"/>
      <c r="L57" s="212"/>
      <c r="M57" s="542"/>
      <c r="N57" s="542"/>
      <c r="P57" s="167"/>
      <c r="Q57" s="538"/>
      <c r="R57" s="167"/>
      <c r="S57" s="543"/>
      <c r="T57" s="546" t="s">
        <v>240</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17"/>
        <v xml:space="preserve">Добавить наименование тарифа</v>
      </c>
      <c r="AQ57" s="129"/>
      <c r="AR57" s="129"/>
      <c r="AS57" s="57">
        <v>4</v>
      </c>
    </row>
    <row r="58" ht="11.5" customHeight="1">
      <c r="M58" s="53"/>
      <c r="N58" s="53"/>
      <c r="O58" s="53"/>
      <c r="P58" s="50"/>
      <c r="Q58" s="50"/>
      <c r="R58" s="50"/>
      <c r="S58" s="50"/>
      <c r="AN58" s="50"/>
      <c r="AO58" s="50"/>
      <c r="AP58" s="50"/>
      <c r="AQ58" s="50"/>
      <c r="AR58" s="50"/>
      <c r="AS58" s="50">
        <v>11</v>
      </c>
    </row>
    <row r="59" ht="14.65"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14</v>
      </c>
    </row>
    <row r="60" ht="14.65" customHeight="1">
      <c r="O60" s="53"/>
      <c r="T60" s="588"/>
      <c r="U60" s="588"/>
      <c r="V60" s="588"/>
      <c r="W60" s="588"/>
      <c r="X60" s="588"/>
      <c r="Y60" s="588"/>
      <c r="Z60" s="588"/>
      <c r="AA60" s="588"/>
      <c r="AB60" s="588"/>
      <c r="AC60" s="588"/>
      <c r="AD60" s="588"/>
      <c r="AE60" s="588"/>
      <c r="AF60" s="588"/>
      <c r="AG60" s="588"/>
      <c r="AH60" s="588"/>
      <c r="AI60" s="588"/>
      <c r="AJ60" s="588"/>
      <c r="AK60" s="588"/>
      <c r="AL60" s="588"/>
      <c r="AM60" s="588"/>
      <c r="AS60" s="50">
        <v>14</v>
      </c>
    </row>
    <row r="61" ht="14.65" customHeight="1">
      <c r="O61" s="53"/>
      <c r="T61" s="588"/>
      <c r="U61" s="588"/>
      <c r="V61" s="588"/>
      <c r="W61" s="588"/>
      <c r="X61" s="588"/>
      <c r="Y61" s="588"/>
      <c r="Z61" s="588"/>
      <c r="AA61" s="588"/>
      <c r="AB61" s="588"/>
      <c r="AC61" s="588"/>
      <c r="AD61" s="588"/>
      <c r="AE61" s="588"/>
      <c r="AF61" s="588"/>
      <c r="AG61" s="588"/>
      <c r="AH61" s="588"/>
      <c r="AI61" s="588"/>
      <c r="AJ61" s="588"/>
      <c r="AK61" s="588"/>
      <c r="AL61" s="588"/>
      <c r="AM61" s="588"/>
      <c r="AS61" s="50">
        <v>14</v>
      </c>
    </row>
    <row r="62" ht="14.65" customHeight="1">
      <c r="O62" s="53"/>
      <c r="AS62" s="50">
        <v>14</v>
      </c>
    </row>
    <row r="63" ht="14.65" customHeight="1">
      <c r="O63" s="53"/>
      <c r="S63" s="490"/>
      <c r="T63" s="290"/>
      <c r="U63" s="588"/>
      <c r="V63" s="588"/>
      <c r="W63" s="588"/>
      <c r="X63" s="588"/>
      <c r="Y63" s="588"/>
      <c r="Z63" s="588"/>
      <c r="AA63" s="588"/>
      <c r="AB63" s="588"/>
      <c r="AC63" s="588"/>
      <c r="AD63" s="588"/>
      <c r="AE63" s="588"/>
      <c r="AF63" s="588"/>
      <c r="AG63" s="588"/>
      <c r="AH63" s="588"/>
      <c r="AI63" s="588"/>
      <c r="AJ63" s="588"/>
      <c r="AK63" s="588"/>
      <c r="AL63" s="588"/>
      <c r="AM63" s="588"/>
      <c r="AS63" s="50">
        <v>14</v>
      </c>
    </row>
    <row r="64" ht="14.65" customHeight="1">
      <c r="O64" s="53"/>
      <c r="T64" s="588"/>
      <c r="U64" s="588"/>
      <c r="V64" s="588"/>
      <c r="W64" s="588"/>
      <c r="X64" s="588"/>
      <c r="Y64" s="588"/>
      <c r="Z64" s="588"/>
      <c r="AA64" s="588"/>
      <c r="AB64" s="588"/>
      <c r="AC64" s="588"/>
      <c r="AD64" s="588"/>
      <c r="AE64" s="588"/>
      <c r="AF64" s="588"/>
      <c r="AG64" s="588"/>
      <c r="AH64" s="588"/>
      <c r="AI64" s="588"/>
      <c r="AJ64" s="588"/>
      <c r="AK64" s="588"/>
      <c r="AL64" s="588"/>
      <c r="AM64" s="588"/>
      <c r="AS64" s="50">
        <v>14</v>
      </c>
    </row>
    <row r="65" ht="14.65" customHeight="1">
      <c r="T65" s="588"/>
      <c r="U65" s="588"/>
      <c r="V65" s="588"/>
      <c r="W65" s="588"/>
      <c r="X65" s="588"/>
      <c r="Y65" s="588"/>
      <c r="Z65" s="588"/>
      <c r="AA65" s="588"/>
      <c r="AB65" s="588"/>
      <c r="AC65" s="588"/>
      <c r="AD65" s="588"/>
      <c r="AE65" s="588"/>
      <c r="AF65" s="588"/>
      <c r="AG65" s="588"/>
      <c r="AH65" s="588"/>
      <c r="AI65" s="588"/>
      <c r="AJ65" s="588"/>
      <c r="AK65" s="588"/>
      <c r="AL65" s="588"/>
      <c r="AM65" s="588"/>
      <c r="AS65" s="50">
        <v>14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2">
        <v>3</v>
      </c>
      <c r="R66" s="492">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400C6-006F-4F95-9C95-002600040017}"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F00E9-00C8-49B1-BA07-005D008500B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DD0044-00E8-49DD-BF4D-0098008400B0}"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300F5-007A-4BDC-AAB4-00EA00450022}"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92"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4"/>
      <c r="B2" s="264"/>
      <c r="C2" s="264"/>
      <c r="D2" s="264"/>
      <c r="E2" s="589">
        <v>1</v>
      </c>
      <c r="F2" s="264"/>
      <c r="G2" s="264"/>
      <c r="H2" s="264"/>
      <c r="I2" s="264"/>
      <c r="J2" s="264"/>
      <c r="K2" s="264"/>
      <c r="L2" s="264"/>
      <c r="M2" s="337"/>
      <c r="N2" s="86"/>
      <c r="O2" s="86"/>
      <c r="P2" s="86"/>
      <c r="Q2" s="60"/>
      <c r="R2" s="143"/>
      <c r="S2" s="143"/>
      <c r="T2" s="497"/>
      <c r="U2" s="498" t="e">
        <f>INDEX(PT_DIFFERENTIATION_NUM_NTAR,MATCH(A2,PT_DIFFERENTIATION_NTAR_ID,0))</f>
        <v>#VALUE!</v>
      </c>
      <c r="V2" s="499" t="s">
        <v>123</v>
      </c>
      <c r="W2" s="500"/>
      <c r="X2" s="501"/>
      <c r="Y2" s="502"/>
      <c r="Z2" s="502"/>
      <c r="AA2" s="502"/>
      <c r="AB2" s="502"/>
      <c r="AC2" s="502"/>
      <c r="AD2" s="502"/>
      <c r="AE2" s="502"/>
      <c r="AF2" s="503"/>
      <c r="AG2" s="501" t="e">
        <f>INDEX(PT_DIFFERENTIATION_NTAR,MATCH(A2,PT_DIFFERENTIATION_NTAR_ID,0))</f>
        <v>#VALUE!</v>
      </c>
      <c r="AH2" s="502"/>
      <c r="AI2" s="502"/>
      <c r="AJ2" s="502"/>
      <c r="AK2" s="502"/>
      <c r="AL2" s="502"/>
      <c r="AM2" s="502"/>
      <c r="AN2" s="502"/>
      <c r="AO2" s="502"/>
      <c r="AP2" s="503"/>
      <c r="AQ2" s="504" t="s">
        <v>398</v>
      </c>
      <c r="AS2" s="129"/>
      <c r="AT2" s="129" t="str">
        <f t="shared" ref="AT2:AT8" si="18">IF(V2="","",V2)</f>
        <v xml:space="preserve">Наименование тарифа</v>
      </c>
      <c r="AU2" s="129"/>
      <c r="AV2" s="129"/>
      <c r="AW2" s="50">
        <v>0</v>
      </c>
    </row>
    <row r="3" ht="21" hidden="1" customHeight="1">
      <c r="A3" s="264"/>
      <c r="B3" s="264"/>
      <c r="C3" s="264"/>
      <c r="D3" s="264"/>
      <c r="E3" s="590"/>
      <c r="F3" s="589">
        <v>1</v>
      </c>
      <c r="G3" s="264"/>
      <c r="H3" s="264"/>
      <c r="I3" s="264"/>
      <c r="J3" s="264"/>
      <c r="K3" s="264"/>
      <c r="L3" s="264"/>
      <c r="M3" s="337"/>
      <c r="N3" s="86"/>
      <c r="O3" s="86"/>
      <c r="P3" s="86"/>
      <c r="Q3" s="51"/>
      <c r="R3" s="506"/>
      <c r="S3" s="50"/>
      <c r="T3" s="507"/>
      <c r="U3" s="498" t="e">
        <f>INDEX(PT_DIFFERENTIATION_NUM_TER,MATCH(B3,PT_DIFFERENTIATION_TER_ID,0))</f>
        <v>#VALUE!</v>
      </c>
      <c r="V3" s="508" t="s">
        <v>399</v>
      </c>
      <c r="W3" s="500"/>
      <c r="X3" s="501"/>
      <c r="Y3" s="502"/>
      <c r="Z3" s="502"/>
      <c r="AA3" s="502"/>
      <c r="AB3" s="502"/>
      <c r="AC3" s="502"/>
      <c r="AD3" s="502"/>
      <c r="AE3" s="502"/>
      <c r="AF3" s="503"/>
      <c r="AG3" s="501" t="e">
        <f>INDEX(PT_DIFFERENTIATION_TER,MATCH(B3,PT_DIFFERENTIATION_TER_ID,0))</f>
        <v>#VALUE!</v>
      </c>
      <c r="AH3" s="502"/>
      <c r="AI3" s="502"/>
      <c r="AJ3" s="502"/>
      <c r="AK3" s="502"/>
      <c r="AL3" s="502"/>
      <c r="AM3" s="502"/>
      <c r="AN3" s="502"/>
      <c r="AO3" s="502"/>
      <c r="AP3" s="503"/>
      <c r="AQ3" s="504" t="s">
        <v>400</v>
      </c>
      <c r="AS3" s="129"/>
      <c r="AT3" s="129" t="str">
        <f t="shared" si="18"/>
        <v xml:space="preserve">Территория действия тарифа</v>
      </c>
      <c r="AU3" s="129"/>
      <c r="AV3" s="129"/>
      <c r="AW3" s="50">
        <v>0</v>
      </c>
    </row>
    <row r="4" ht="22.5" hidden="1" customHeight="1">
      <c r="A4" s="264"/>
      <c r="B4" s="264"/>
      <c r="C4" s="264"/>
      <c r="D4" s="264"/>
      <c r="E4" s="590"/>
      <c r="F4" s="590"/>
      <c r="G4" s="589">
        <v>1</v>
      </c>
      <c r="H4" s="264"/>
      <c r="I4" s="264"/>
      <c r="J4" s="264"/>
      <c r="K4" s="264"/>
      <c r="L4" s="264"/>
      <c r="M4" s="337"/>
      <c r="N4" s="86"/>
      <c r="O4" s="86"/>
      <c r="P4" s="86"/>
      <c r="Q4" s="509"/>
      <c r="R4" s="506"/>
      <c r="S4" s="50"/>
      <c r="T4" s="507"/>
      <c r="U4" s="498" t="e">
        <f>INDEX(PT_DIFFERENTIATION_NUM_CS,MATCH(C4,PT_DIFFERENTIATION_CS_ID,0))</f>
        <v>#VALUE!</v>
      </c>
      <c r="V4" s="510" t="s">
        <v>401</v>
      </c>
      <c r="W4" s="500"/>
      <c r="X4" s="501"/>
      <c r="Y4" s="502"/>
      <c r="Z4" s="502"/>
      <c r="AA4" s="502"/>
      <c r="AB4" s="502"/>
      <c r="AC4" s="502"/>
      <c r="AD4" s="502"/>
      <c r="AE4" s="502"/>
      <c r="AF4" s="503"/>
      <c r="AG4" s="501" t="e">
        <f>INDEX(PT_DIFFERENTIATION_CS,MATCH(C4,PT_DIFFERENTIATION_CS_ID,0))</f>
        <v>#VALUE!</v>
      </c>
      <c r="AH4" s="502"/>
      <c r="AI4" s="502"/>
      <c r="AJ4" s="502"/>
      <c r="AK4" s="502"/>
      <c r="AL4" s="502"/>
      <c r="AM4" s="502"/>
      <c r="AN4" s="502"/>
      <c r="AO4" s="502"/>
      <c r="AP4" s="503"/>
      <c r="AQ4" s="504" t="s">
        <v>402</v>
      </c>
      <c r="AS4" s="129"/>
      <c r="AT4" s="129" t="str">
        <f t="shared" si="18"/>
        <v xml:space="preserve">Наименование системы теплоснабжения</v>
      </c>
      <c r="AU4" s="129"/>
      <c r="AV4" s="129"/>
      <c r="AW4" s="50">
        <v>0</v>
      </c>
    </row>
    <row r="5" ht="21" hidden="1" customHeight="1">
      <c r="A5" s="264"/>
      <c r="B5" s="264"/>
      <c r="C5" s="264"/>
      <c r="D5" s="264"/>
      <c r="E5" s="590"/>
      <c r="F5" s="590"/>
      <c r="G5" s="590"/>
      <c r="H5" s="589">
        <v>1</v>
      </c>
      <c r="I5" s="264"/>
      <c r="J5" s="264"/>
      <c r="K5" s="264"/>
      <c r="L5" s="264"/>
      <c r="M5" s="337"/>
      <c r="N5" s="86"/>
      <c r="O5" s="86"/>
      <c r="P5" s="86"/>
      <c r="Q5" s="509"/>
      <c r="R5" s="506"/>
      <c r="S5" s="50"/>
      <c r="T5" s="507"/>
      <c r="U5" s="498" t="e">
        <f>INDEX(PT_DIFFERENTIATION_NUM_IST_TE,MATCH(D5,PT_DIFFERENTIATION_IST_TE_ID,0))</f>
        <v>#VALUE!</v>
      </c>
      <c r="V5" s="511" t="s">
        <v>403</v>
      </c>
      <c r="W5" s="500"/>
      <c r="X5" s="501"/>
      <c r="Y5" s="502"/>
      <c r="Z5" s="502"/>
      <c r="AA5" s="502"/>
      <c r="AB5" s="502"/>
      <c r="AC5" s="502"/>
      <c r="AD5" s="502"/>
      <c r="AE5" s="502"/>
      <c r="AF5" s="503"/>
      <c r="AG5" s="501" t="e">
        <f>INDEX(PT_DIFFERENTIATION_IST_TE,MATCH(D5,PT_DIFFERENTIATION_IST_TE_ID,0))</f>
        <v>#VALUE!</v>
      </c>
      <c r="AH5" s="502"/>
      <c r="AI5" s="502"/>
      <c r="AJ5" s="502"/>
      <c r="AK5" s="502"/>
      <c r="AL5" s="502"/>
      <c r="AM5" s="502"/>
      <c r="AN5" s="502"/>
      <c r="AO5" s="502"/>
      <c r="AP5" s="503"/>
      <c r="AQ5" s="504" t="s">
        <v>404</v>
      </c>
      <c r="AS5" s="129"/>
      <c r="AT5" s="129" t="str">
        <f t="shared" si="18"/>
        <v xml:space="preserve">Источник тепловой энергии</v>
      </c>
      <c r="AU5" s="129"/>
      <c r="AV5" s="129"/>
      <c r="AW5" s="50">
        <v>0</v>
      </c>
    </row>
    <row r="6" ht="14.25" hidden="1" customHeight="1">
      <c r="A6" s="264"/>
      <c r="B6" s="264"/>
      <c r="C6" s="264"/>
      <c r="D6" s="264"/>
      <c r="E6" s="590"/>
      <c r="F6" s="590"/>
      <c r="G6" s="590"/>
      <c r="H6" s="590"/>
      <c r="I6" s="157" t="e">
        <f>U5&amp;".1"</f>
        <v>#VALUE!</v>
      </c>
      <c r="J6" s="264"/>
      <c r="K6" s="264"/>
      <c r="L6" s="264"/>
      <c r="M6" s="337" t="s">
        <v>405</v>
      </c>
      <c r="N6" s="50"/>
      <c r="Q6" s="132">
        <v>1</v>
      </c>
      <c r="R6" s="132"/>
      <c r="S6" s="132"/>
      <c r="T6" s="513"/>
      <c r="U6" s="366"/>
      <c r="V6" s="600"/>
      <c r="W6" s="601"/>
      <c r="X6" s="602"/>
      <c r="Y6" s="603"/>
      <c r="Z6" s="603"/>
      <c r="AA6" s="603"/>
      <c r="AB6" s="603"/>
      <c r="AC6" s="603"/>
      <c r="AD6" s="603"/>
      <c r="AE6" s="603"/>
      <c r="AF6" s="604"/>
      <c r="AG6" s="602"/>
      <c r="AH6" s="603"/>
      <c r="AI6" s="603"/>
      <c r="AJ6" s="603"/>
      <c r="AK6" s="603"/>
      <c r="AL6" s="603"/>
      <c r="AM6" s="603"/>
      <c r="AN6" s="603"/>
      <c r="AO6" s="603"/>
      <c r="AP6" s="604"/>
      <c r="AQ6" s="605"/>
      <c r="AS6" s="129"/>
      <c r="AT6" s="129" t="str">
        <f t="shared" si="18"/>
        <v/>
      </c>
      <c r="AU6" s="129"/>
      <c r="AV6" s="129"/>
      <c r="AW6" s="50">
        <v>0</v>
      </c>
    </row>
    <row r="7" ht="21" hidden="1" customHeight="1">
      <c r="A7" s="264"/>
      <c r="B7" s="264"/>
      <c r="C7" s="264"/>
      <c r="D7" s="264"/>
      <c r="E7" s="590"/>
      <c r="F7" s="590"/>
      <c r="G7" s="590"/>
      <c r="H7" s="590"/>
      <c r="I7" s="73"/>
      <c r="J7" s="157" t="e">
        <f>I6&amp;".1"</f>
        <v>#VALUE!</v>
      </c>
      <c r="K7" s="264"/>
      <c r="L7" s="264"/>
      <c r="M7" s="337" t="s">
        <v>408</v>
      </c>
      <c r="N7" s="50"/>
      <c r="O7" s="50"/>
      <c r="Q7" s="132"/>
      <c r="R7" s="132">
        <v>1</v>
      </c>
      <c r="S7" s="57"/>
      <c r="T7" s="518"/>
      <c r="U7" s="498" t="e">
        <f>$J7</f>
        <v>#VALUE!</v>
      </c>
      <c r="V7" s="519" t="s">
        <v>409</v>
      </c>
      <c r="W7" s="500"/>
      <c r="X7" s="445"/>
      <c r="Y7" s="515"/>
      <c r="Z7" s="515"/>
      <c r="AA7" s="515"/>
      <c r="AB7" s="515"/>
      <c r="AC7" s="460"/>
      <c r="AD7" s="460"/>
      <c r="AE7" s="460"/>
      <c r="AF7" s="628"/>
      <c r="AG7" s="445"/>
      <c r="AH7" s="515"/>
      <c r="AI7" s="515"/>
      <c r="AJ7" s="515"/>
      <c r="AK7" s="515"/>
      <c r="AL7" s="515"/>
      <c r="AM7" s="515"/>
      <c r="AN7" s="515"/>
      <c r="AO7" s="515"/>
      <c r="AP7" s="516"/>
      <c r="AQ7" s="504" t="s">
        <v>410</v>
      </c>
      <c r="AS7" s="129"/>
      <c r="AT7" s="129" t="str">
        <f t="shared" si="18"/>
        <v xml:space="preserve">Группа потребителей</v>
      </c>
      <c r="AU7" s="129"/>
      <c r="AV7" s="129"/>
      <c r="AW7" s="50">
        <v>0</v>
      </c>
    </row>
    <row r="8" ht="21" hidden="1" customHeight="1">
      <c r="A8" s="264"/>
      <c r="B8" s="264"/>
      <c r="C8" s="264"/>
      <c r="D8" s="264"/>
      <c r="E8" s="590"/>
      <c r="F8" s="590"/>
      <c r="G8" s="590"/>
      <c r="H8" s="590"/>
      <c r="I8" s="73"/>
      <c r="J8" s="73"/>
      <c r="K8" s="157" t="e">
        <f>J7&amp;".1"</f>
        <v>#VALUE!</v>
      </c>
      <c r="L8" s="51"/>
      <c r="M8" s="337" t="s">
        <v>411</v>
      </c>
      <c r="N8" s="50"/>
      <c r="O8" s="50"/>
      <c r="P8" s="50"/>
      <c r="Q8" s="132"/>
      <c r="R8" s="132"/>
      <c r="S8" s="132">
        <v>1</v>
      </c>
      <c r="T8" s="518"/>
      <c r="U8" s="498" t="e">
        <f>$K8</f>
        <v>#VALUE!</v>
      </c>
      <c r="V8" s="520"/>
      <c r="W8" s="500"/>
      <c r="X8" s="521"/>
      <c r="Y8" s="521"/>
      <c r="Z8" s="521"/>
      <c r="AA8" s="521"/>
      <c r="AB8" s="629"/>
      <c r="AC8" s="524"/>
      <c r="AD8" s="224" t="s">
        <v>66</v>
      </c>
      <c r="AE8" s="524"/>
      <c r="AF8" s="224" t="s">
        <v>66</v>
      </c>
      <c r="AG8" s="630"/>
      <c r="AH8" s="521"/>
      <c r="AI8" s="521"/>
      <c r="AJ8" s="521"/>
      <c r="AK8" s="523"/>
      <c r="AL8" s="524"/>
      <c r="AM8" s="224" t="s">
        <v>66</v>
      </c>
      <c r="AN8" s="524"/>
      <c r="AO8" s="224" t="s">
        <v>66</v>
      </c>
      <c r="AP8" s="522"/>
      <c r="AQ8" s="631" t="s">
        <v>451</v>
      </c>
      <c r="AR8" s="57" t="e">
        <f>STRCHECKDATE(X10:AP10)</f>
        <v>#NAME?</v>
      </c>
      <c r="AS8" s="129"/>
      <c r="AT8" s="129" t="str">
        <f t="shared" si="18"/>
        <v/>
      </c>
      <c r="AU8" s="129"/>
      <c r="AV8" s="129"/>
      <c r="AW8" s="50">
        <v>0</v>
      </c>
    </row>
    <row r="9" ht="21" hidden="1" customHeight="1">
      <c r="A9" s="264"/>
      <c r="B9" s="264"/>
      <c r="C9" s="264"/>
      <c r="D9" s="264"/>
      <c r="E9" s="590"/>
      <c r="F9" s="590"/>
      <c r="G9" s="590"/>
      <c r="H9" s="590"/>
      <c r="I9" s="73"/>
      <c r="J9" s="73"/>
      <c r="K9" s="73"/>
      <c r="L9" s="157" t="e">
        <f>K8&amp;".1"</f>
        <v>#VALUE!</v>
      </c>
      <c r="M9" s="337"/>
      <c r="N9" s="50"/>
      <c r="O9" s="50"/>
      <c r="P9" s="50"/>
      <c r="Q9" s="132"/>
      <c r="R9" s="132"/>
      <c r="S9" s="132"/>
      <c r="T9" s="518"/>
      <c r="U9" s="498" t="e">
        <f>$L9</f>
        <v>#VALUE!</v>
      </c>
      <c r="V9" s="632"/>
      <c r="W9" s="500"/>
      <c r="X9" s="522"/>
      <c r="Y9" s="521"/>
      <c r="Z9" s="521"/>
      <c r="AA9" s="521"/>
      <c r="AB9" s="629"/>
      <c r="AC9" s="527"/>
      <c r="AD9" s="224"/>
      <c r="AE9" s="527"/>
      <c r="AF9" s="224"/>
      <c r="AG9" s="630"/>
      <c r="AH9" s="521"/>
      <c r="AI9" s="521"/>
      <c r="AJ9" s="521"/>
      <c r="AK9" s="523"/>
      <c r="AL9" s="527"/>
      <c r="AM9" s="224"/>
      <c r="AN9" s="527"/>
      <c r="AO9" s="224"/>
      <c r="AP9" s="522"/>
      <c r="AQ9" s="525" t="s">
        <v>452</v>
      </c>
      <c r="AS9" s="129"/>
      <c r="AT9" s="129"/>
      <c r="AU9" s="129"/>
      <c r="AV9" s="129"/>
      <c r="AW9" s="50">
        <v>0</v>
      </c>
    </row>
    <row r="10" ht="14.25" hidden="1" customHeight="1">
      <c r="A10" s="264"/>
      <c r="B10" s="264"/>
      <c r="C10" s="264"/>
      <c r="D10" s="264"/>
      <c r="E10" s="590"/>
      <c r="F10" s="590"/>
      <c r="G10" s="590"/>
      <c r="H10" s="590"/>
      <c r="I10" s="73"/>
      <c r="J10" s="73"/>
      <c r="K10" s="73"/>
      <c r="L10" s="157"/>
      <c r="M10" s="337"/>
      <c r="N10" s="50"/>
      <c r="O10" s="50"/>
      <c r="P10" s="50"/>
      <c r="Q10" s="132"/>
      <c r="R10" s="132"/>
      <c r="S10" s="132"/>
      <c r="T10" s="518"/>
      <c r="U10" s="472"/>
      <c r="V10" s="500"/>
      <c r="W10" s="500"/>
      <c r="X10" s="522"/>
      <c r="Y10" s="522"/>
      <c r="Z10" s="522"/>
      <c r="AA10" s="522"/>
      <c r="AB10" s="633" t="str">
        <f>AC8&amp;"-"&amp;AE8</f>
        <v>-</v>
      </c>
      <c r="AC10" s="527"/>
      <c r="AD10" s="224"/>
      <c r="AE10" s="527"/>
      <c r="AF10" s="224"/>
      <c r="AG10" s="634"/>
      <c r="AH10" s="522"/>
      <c r="AI10" s="522"/>
      <c r="AJ10" s="522"/>
      <c r="AK10" s="526" t="str">
        <f>AL8&amp;"-"&amp;AN8</f>
        <v>-</v>
      </c>
      <c r="AL10" s="527"/>
      <c r="AM10" s="224"/>
      <c r="AN10" s="527"/>
      <c r="AO10" s="224"/>
      <c r="AP10" s="522"/>
      <c r="AQ10" s="528"/>
      <c r="AS10" s="129"/>
      <c r="AT10" s="129" t="str">
        <f>IF(V10="","",V10)</f>
        <v/>
      </c>
      <c r="AU10" s="129"/>
      <c r="AV10" s="129"/>
      <c r="AW10" s="50">
        <v>0</v>
      </c>
    </row>
    <row r="11" ht="11.25" hidden="1" customHeight="1">
      <c r="A11" s="264"/>
      <c r="B11" s="264"/>
      <c r="C11" s="264"/>
      <c r="D11" s="264"/>
      <c r="E11" s="590"/>
      <c r="F11" s="590"/>
      <c r="G11" s="590"/>
      <c r="H11" s="590"/>
      <c r="I11" s="73"/>
      <c r="J11" s="73"/>
      <c r="K11" s="157"/>
      <c r="L11" s="264"/>
      <c r="M11" s="337"/>
      <c r="N11" s="50"/>
      <c r="O11" s="50"/>
      <c r="P11" s="50"/>
      <c r="Q11" s="132"/>
      <c r="R11" s="132"/>
      <c r="S11" s="132"/>
      <c r="T11" s="518"/>
      <c r="U11" s="529"/>
      <c r="V11" s="530" t="s">
        <v>453</v>
      </c>
      <c r="W11" s="635"/>
      <c r="X11" s="636"/>
      <c r="Y11" s="636"/>
      <c r="Z11" s="636"/>
      <c r="AA11" s="636"/>
      <c r="AB11" s="637"/>
      <c r="AC11" s="527"/>
      <c r="AD11" s="224"/>
      <c r="AE11" s="527"/>
      <c r="AF11" s="224"/>
      <c r="AG11" s="636"/>
      <c r="AH11" s="636"/>
      <c r="AI11" s="636"/>
      <c r="AJ11" s="636"/>
      <c r="AK11" s="637"/>
      <c r="AL11" s="527"/>
      <c r="AM11" s="224"/>
      <c r="AN11" s="527"/>
      <c r="AO11" s="224"/>
      <c r="AP11" s="638"/>
      <c r="AQ11" s="528"/>
      <c r="AS11" s="129"/>
      <c r="AT11" s="129"/>
      <c r="AU11" s="129"/>
      <c r="AV11" s="129"/>
      <c r="AW11" s="50">
        <v>0</v>
      </c>
    </row>
    <row r="12" ht="15" hidden="1" customHeight="1">
      <c r="A12" s="264"/>
      <c r="B12" s="264"/>
      <c r="C12" s="264"/>
      <c r="D12" s="264"/>
      <c r="E12" s="590"/>
      <c r="F12" s="590"/>
      <c r="G12" s="590"/>
      <c r="H12" s="590"/>
      <c r="I12" s="73"/>
      <c r="J12" s="157"/>
      <c r="K12" s="264"/>
      <c r="L12" s="264"/>
      <c r="M12" s="337"/>
      <c r="N12" s="50"/>
      <c r="O12" s="50"/>
      <c r="Q12" s="132"/>
      <c r="R12" s="132"/>
      <c r="S12" s="132"/>
      <c r="T12" s="513"/>
      <c r="U12" s="529"/>
      <c r="V12" s="533" t="s">
        <v>413</v>
      </c>
      <c r="W12" s="214"/>
      <c r="X12" s="214"/>
      <c r="Y12" s="214"/>
      <c r="Z12" s="214"/>
      <c r="AA12" s="214"/>
      <c r="AB12" s="214"/>
      <c r="AC12" s="639"/>
      <c r="AD12" s="639"/>
      <c r="AE12" s="639"/>
      <c r="AF12" s="639"/>
      <c r="AG12" s="214"/>
      <c r="AH12" s="214"/>
      <c r="AI12" s="214"/>
      <c r="AJ12" s="214"/>
      <c r="AK12" s="214"/>
      <c r="AL12" s="214"/>
      <c r="AM12" s="214"/>
      <c r="AN12" s="214"/>
      <c r="AO12" s="214"/>
      <c r="AP12" s="531"/>
      <c r="AQ12" s="532"/>
      <c r="AS12" s="129"/>
      <c r="AT12" s="129" t="str">
        <f t="shared" ref="AT12:AT65" si="19">IF(V12="","",V12)</f>
        <v xml:space="preserve">Добавить вид теплоносителя (параметры теплоносителя)</v>
      </c>
      <c r="AU12" s="129"/>
      <c r="AV12" s="129"/>
      <c r="AW12" s="50">
        <v>0</v>
      </c>
    </row>
    <row r="13" ht="11.25" hidden="1" customHeight="1">
      <c r="A13" s="264"/>
      <c r="B13" s="264"/>
      <c r="C13" s="264"/>
      <c r="D13" s="264"/>
      <c r="E13" s="590"/>
      <c r="F13" s="590"/>
      <c r="G13" s="590"/>
      <c r="H13" s="590"/>
      <c r="I13" s="157"/>
      <c r="J13" s="264"/>
      <c r="K13" s="264"/>
      <c r="L13" s="264"/>
      <c r="M13" s="337"/>
      <c r="N13" s="50"/>
      <c r="Q13" s="132"/>
      <c r="R13" s="132"/>
      <c r="S13" s="132"/>
      <c r="T13" s="513"/>
      <c r="U13" s="529"/>
      <c r="V13" s="537" t="s">
        <v>414</v>
      </c>
      <c r="W13" s="214"/>
      <c r="X13" s="214"/>
      <c r="Y13" s="214"/>
      <c r="Z13" s="214"/>
      <c r="AA13" s="214"/>
      <c r="AB13" s="214"/>
      <c r="AC13" s="214"/>
      <c r="AD13" s="214"/>
      <c r="AE13" s="214"/>
      <c r="AF13" s="534"/>
      <c r="AG13" s="214"/>
      <c r="AH13" s="214"/>
      <c r="AI13" s="214"/>
      <c r="AJ13" s="214"/>
      <c r="AK13" s="214"/>
      <c r="AL13" s="214"/>
      <c r="AM13" s="214"/>
      <c r="AN13" s="214"/>
      <c r="AO13" s="534"/>
      <c r="AP13" s="214"/>
      <c r="AQ13" s="535"/>
      <c r="AS13" s="129"/>
      <c r="AT13" s="129" t="str">
        <f t="shared" si="19"/>
        <v xml:space="preserve">Добавить группу потребителей</v>
      </c>
      <c r="AU13" s="129"/>
      <c r="AV13" s="129"/>
      <c r="AW13" s="50">
        <v>0</v>
      </c>
    </row>
    <row r="14" ht="14.25" hidden="1" customHeight="1">
      <c r="A14" s="264"/>
      <c r="B14" s="264"/>
      <c r="C14" s="264"/>
      <c r="D14" s="264"/>
      <c r="E14" s="590"/>
      <c r="F14" s="590"/>
      <c r="G14" s="590"/>
      <c r="H14" s="589"/>
      <c r="I14" s="264"/>
      <c r="J14" s="264"/>
      <c r="K14" s="264"/>
      <c r="L14" s="264"/>
      <c r="M14" s="337"/>
      <c r="N14" s="86"/>
      <c r="O14" s="86"/>
      <c r="P14" s="50"/>
      <c r="Q14" s="143"/>
      <c r="R14" s="536"/>
      <c r="S14" s="497"/>
      <c r="T14" s="143"/>
      <c r="U14" s="606"/>
      <c r="V14" s="607"/>
      <c r="W14" s="608"/>
      <c r="X14" s="608"/>
      <c r="Y14" s="608"/>
      <c r="Z14" s="608"/>
      <c r="AA14" s="608"/>
      <c r="AB14" s="608"/>
      <c r="AC14" s="608"/>
      <c r="AD14" s="608"/>
      <c r="AE14" s="608"/>
      <c r="AF14" s="608"/>
      <c r="AG14" s="608"/>
      <c r="AH14" s="608"/>
      <c r="AI14" s="608"/>
      <c r="AJ14" s="608"/>
      <c r="AK14" s="608"/>
      <c r="AL14" s="608"/>
      <c r="AM14" s="608"/>
      <c r="AN14" s="608"/>
      <c r="AO14" s="608"/>
      <c r="AP14" s="608"/>
      <c r="AQ14" s="609"/>
      <c r="AS14" s="129"/>
      <c r="AT14" s="129" t="str">
        <f t="shared" si="19"/>
        <v/>
      </c>
      <c r="AU14" s="129"/>
      <c r="AV14" s="129"/>
      <c r="AW14" s="50">
        <v>0</v>
      </c>
    </row>
    <row r="15" s="57" customFormat="1" ht="14.25" hidden="1" customHeight="1">
      <c r="A15" s="591"/>
      <c r="B15" s="591"/>
      <c r="C15" s="591"/>
      <c r="D15" s="591"/>
      <c r="E15" s="590"/>
      <c r="F15" s="590"/>
      <c r="G15" s="589"/>
      <c r="H15" s="591"/>
      <c r="I15" s="591"/>
      <c r="J15" s="591"/>
      <c r="K15" s="591"/>
      <c r="L15" s="591"/>
      <c r="M15" s="592"/>
      <c r="N15" s="593"/>
      <c r="O15" s="593"/>
      <c r="P15" s="131"/>
      <c r="Q15" s="167"/>
      <c r="R15" s="538"/>
      <c r="S15" s="167"/>
      <c r="T15" s="167"/>
      <c r="U15" s="539"/>
      <c r="V15" s="540" t="s">
        <v>416</v>
      </c>
      <c r="W15" s="541"/>
      <c r="X15" s="541"/>
      <c r="Y15" s="541"/>
      <c r="Z15" s="541"/>
      <c r="AA15" s="541"/>
      <c r="AB15" s="541"/>
      <c r="AC15" s="541"/>
      <c r="AD15" s="541"/>
      <c r="AE15" s="541"/>
      <c r="AF15" s="541"/>
      <c r="AG15" s="541"/>
      <c r="AH15" s="541"/>
      <c r="AI15" s="541"/>
      <c r="AJ15" s="541"/>
      <c r="AK15" s="541"/>
      <c r="AL15" s="541"/>
      <c r="AM15" s="541"/>
      <c r="AN15" s="541"/>
      <c r="AO15" s="541"/>
      <c r="AP15" s="541"/>
      <c r="AQ15" s="541"/>
      <c r="AS15" s="129"/>
      <c r="AT15" s="129" t="str">
        <f t="shared" si="19"/>
        <v xml:space="preserve">Добавить источник для дифференциации</v>
      </c>
      <c r="AU15" s="129"/>
      <c r="AV15" s="129"/>
      <c r="AW15" s="57">
        <v>0</v>
      </c>
    </row>
    <row r="16" s="57" customFormat="1" ht="14.25" hidden="1" customHeight="1">
      <c r="A16" s="591"/>
      <c r="B16" s="591"/>
      <c r="C16" s="591"/>
      <c r="D16" s="591"/>
      <c r="E16" s="590"/>
      <c r="F16" s="589"/>
      <c r="G16" s="591"/>
      <c r="H16" s="591"/>
      <c r="I16" s="591"/>
      <c r="J16" s="591"/>
      <c r="K16" s="591"/>
      <c r="L16" s="591"/>
      <c r="M16" s="592"/>
      <c r="N16" s="594"/>
      <c r="O16" s="594"/>
      <c r="P16" s="131"/>
      <c r="Q16" s="167"/>
      <c r="R16" s="538"/>
      <c r="S16" s="167"/>
      <c r="T16" s="167"/>
      <c r="U16" s="543"/>
      <c r="V16" s="544" t="s">
        <v>238</v>
      </c>
      <c r="W16" s="545"/>
      <c r="X16" s="545"/>
      <c r="Y16" s="545"/>
      <c r="Z16" s="545"/>
      <c r="AA16" s="545"/>
      <c r="AB16" s="545"/>
      <c r="AC16" s="545"/>
      <c r="AD16" s="545"/>
      <c r="AE16" s="545"/>
      <c r="AF16" s="545"/>
      <c r="AG16" s="545"/>
      <c r="AH16" s="545"/>
      <c r="AI16" s="545"/>
      <c r="AJ16" s="545"/>
      <c r="AK16" s="545"/>
      <c r="AL16" s="545"/>
      <c r="AM16" s="545"/>
      <c r="AN16" s="545"/>
      <c r="AO16" s="545"/>
      <c r="AP16" s="545"/>
      <c r="AQ16" s="545"/>
      <c r="AS16" s="129"/>
      <c r="AT16" s="129" t="str">
        <f t="shared" si="19"/>
        <v xml:space="preserve">Добавить централизованную систему для дифференциации</v>
      </c>
      <c r="AU16" s="129"/>
      <c r="AV16" s="129"/>
      <c r="AW16" s="57">
        <v>0</v>
      </c>
    </row>
    <row r="17" s="57" customFormat="1" ht="14.25" hidden="1" customHeight="1">
      <c r="A17" s="591"/>
      <c r="B17" s="591"/>
      <c r="C17" s="591"/>
      <c r="D17" s="591"/>
      <c r="E17" s="589"/>
      <c r="F17" s="591"/>
      <c r="G17" s="591"/>
      <c r="H17" s="591"/>
      <c r="I17" s="591"/>
      <c r="J17" s="591"/>
      <c r="K17" s="591"/>
      <c r="L17" s="591"/>
      <c r="M17" s="592"/>
      <c r="N17" s="594"/>
      <c r="O17" s="594"/>
      <c r="P17" s="131"/>
      <c r="Q17" s="167"/>
      <c r="R17" s="538"/>
      <c r="S17" s="167"/>
      <c r="T17" s="167"/>
      <c r="U17" s="543"/>
      <c r="V17" s="546" t="s">
        <v>239</v>
      </c>
      <c r="W17" s="545"/>
      <c r="X17" s="545"/>
      <c r="Y17" s="545"/>
      <c r="Z17" s="545"/>
      <c r="AA17" s="545"/>
      <c r="AB17" s="545"/>
      <c r="AC17" s="545"/>
      <c r="AD17" s="545"/>
      <c r="AE17" s="545"/>
      <c r="AF17" s="545"/>
      <c r="AG17" s="545"/>
      <c r="AH17" s="545"/>
      <c r="AI17" s="545"/>
      <c r="AJ17" s="545"/>
      <c r="AK17" s="545"/>
      <c r="AL17" s="545"/>
      <c r="AM17" s="545"/>
      <c r="AN17" s="545"/>
      <c r="AO17" s="545"/>
      <c r="AP17" s="545"/>
      <c r="AQ17" s="545"/>
      <c r="AS17" s="129"/>
      <c r="AT17" s="129" t="str">
        <f t="shared" si="19"/>
        <v xml:space="preserve">Добавить территорию для дифференциации</v>
      </c>
      <c r="AU17" s="129"/>
      <c r="AV17" s="129"/>
      <c r="AW17" s="57">
        <v>0</v>
      </c>
    </row>
    <row r="18" ht="14.25" hidden="1" customHeight="1">
      <c r="AF18" s="50"/>
      <c r="AO18" s="50"/>
      <c r="AW18" s="50">
        <v>0</v>
      </c>
    </row>
    <row r="19" ht="14.25" hidden="1" customHeight="1">
      <c r="AG19" s="547"/>
      <c r="AH19" s="547"/>
      <c r="AI19" s="547"/>
      <c r="AJ19" s="547"/>
      <c r="AK19" s="548"/>
      <c r="AL19" s="549"/>
      <c r="AM19" s="550" t="s">
        <v>66</v>
      </c>
      <c r="AN19" s="549"/>
      <c r="AO19" s="550" t="s">
        <v>66</v>
      </c>
      <c r="AW19" s="50">
        <v>0</v>
      </c>
    </row>
    <row r="20" ht="14.25" hidden="1" customHeight="1">
      <c r="AG20" s="547"/>
      <c r="AH20" s="547"/>
      <c r="AI20" s="547"/>
      <c r="AJ20" s="547"/>
      <c r="AK20" s="548"/>
      <c r="AL20" s="549"/>
      <c r="AM20" s="550"/>
      <c r="AN20" s="549"/>
      <c r="AO20" s="550"/>
      <c r="AW20" s="50">
        <v>0</v>
      </c>
    </row>
    <row r="21" ht="14.25" hidden="1" customHeight="1">
      <c r="AG21" s="547"/>
      <c r="AH21" s="547"/>
      <c r="AI21" s="547"/>
      <c r="AJ21" s="547"/>
      <c r="AK21" s="548"/>
      <c r="AL21" s="549"/>
      <c r="AM21" s="550"/>
      <c r="AN21" s="549"/>
      <c r="AO21" s="550"/>
      <c r="AW21" s="50">
        <v>0</v>
      </c>
    </row>
    <row r="22" ht="14.25" hidden="1" customHeight="1">
      <c r="AG22" s="547"/>
      <c r="AH22" s="547"/>
      <c r="AI22" s="547"/>
      <c r="AJ22" s="547"/>
      <c r="AK22" s="526" t="str">
        <f>AL19&amp;"-"&amp;AN19</f>
        <v>-</v>
      </c>
      <c r="AL22" s="550"/>
      <c r="AM22" s="550"/>
      <c r="AN22" s="550"/>
      <c r="AO22" s="550"/>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95" t="s">
        <v>417</v>
      </c>
      <c r="Q24" s="61"/>
      <c r="R24" s="552"/>
      <c r="S24" s="552"/>
      <c r="T24" s="552"/>
      <c r="U24" s="496"/>
      <c r="AC24" s="551"/>
      <c r="AE24" s="551"/>
      <c r="AF24" s="53"/>
      <c r="AL24" s="551"/>
      <c r="AN24" s="551"/>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52"/>
      <c r="S25" s="552"/>
      <c r="T25" s="552"/>
      <c r="U25" s="496"/>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7" t="s">
        <v>418</v>
      </c>
      <c r="Q26" s="61"/>
      <c r="R26" s="552"/>
      <c r="S26" s="552"/>
      <c r="T26" s="552"/>
      <c r="U26" s="496"/>
      <c r="V26" s="53" t="s">
        <v>419</v>
      </c>
      <c r="AD26" s="151" t="s">
        <v>420</v>
      </c>
      <c r="AF26" s="151" t="s">
        <v>421</v>
      </c>
      <c r="AG26" s="53" t="s">
        <v>419</v>
      </c>
      <c r="AM26" s="151" t="s">
        <v>422</v>
      </c>
      <c r="AO26" s="151" t="s">
        <v>421</v>
      </c>
      <c r="AR26" s="57"/>
      <c r="AS26" s="57"/>
      <c r="AT26" s="57"/>
      <c r="AU26" s="57"/>
      <c r="AV26" s="57"/>
      <c r="AW26" s="53">
        <v>0</v>
      </c>
    </row>
    <row r="27" ht="14.25" hidden="1" customHeight="1">
      <c r="P27" s="337"/>
      <c r="AW27" s="50">
        <v>0</v>
      </c>
    </row>
    <row r="28" ht="14.25" hidden="1" customHeight="1">
      <c r="P28" s="337"/>
      <c r="AW28" s="50">
        <v>0</v>
      </c>
    </row>
    <row r="29" ht="14.65" customHeight="1">
      <c r="R29" s="553"/>
      <c r="S29" s="553"/>
      <c r="T29" s="553"/>
      <c r="U29" s="554"/>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53"/>
      <c r="S30" s="553"/>
      <c r="T30" s="553"/>
      <c r="U30" s="466"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6"/>
      <c r="W30" s="466"/>
      <c r="X30" s="466"/>
      <c r="Y30" s="466"/>
      <c r="Z30" s="466"/>
      <c r="AA30" s="466"/>
      <c r="AB30" s="466"/>
      <c r="AC30" s="466"/>
      <c r="AD30" s="466"/>
      <c r="AE30" s="466"/>
      <c r="AF30" s="466"/>
      <c r="AG30" s="466"/>
      <c r="AH30" s="466"/>
      <c r="AI30" s="466"/>
      <c r="AJ30" s="466"/>
      <c r="AK30" s="466"/>
      <c r="AL30" s="466"/>
      <c r="AM30" s="466"/>
      <c r="AN30" s="466"/>
      <c r="AO30" s="240"/>
      <c r="AW30" s="50">
        <v>54</v>
      </c>
    </row>
    <row r="31" ht="14.65" customHeight="1">
      <c r="R31" s="553"/>
      <c r="S31" s="553"/>
      <c r="T31" s="553"/>
      <c r="U31" s="320" t="str">
        <f>IF(org=0,"Не определено",org)</f>
        <v xml:space="preserve">филиал Пермская ГРЭС АО "Интер РАО - Электрогенерация"</v>
      </c>
      <c r="V31" s="320"/>
      <c r="W31" s="320"/>
      <c r="X31" s="320"/>
      <c r="Y31" s="320"/>
      <c r="Z31" s="320"/>
      <c r="AA31" s="320"/>
      <c r="AB31" s="320"/>
      <c r="AC31" s="320"/>
      <c r="AD31" s="320"/>
      <c r="AE31" s="320"/>
      <c r="AF31" s="320"/>
      <c r="AG31" s="320"/>
      <c r="AH31" s="320"/>
      <c r="AI31" s="320"/>
      <c r="AJ31" s="320"/>
      <c r="AK31" s="320"/>
      <c r="AL31" s="320"/>
      <c r="AM31" s="320"/>
      <c r="AN31" s="320"/>
      <c r="AO31" s="240"/>
      <c r="AW31" s="50">
        <v>14</v>
      </c>
    </row>
    <row r="32" ht="14.25" hidden="1" customHeight="1">
      <c r="R32" s="553"/>
      <c r="S32" s="553"/>
      <c r="T32" s="553"/>
      <c r="U32" s="554"/>
      <c r="V32" s="91"/>
      <c r="W32" s="91"/>
      <c r="X32" s="555"/>
      <c r="Y32" s="555"/>
      <c r="Z32" s="555"/>
      <c r="AA32" s="555"/>
      <c r="AB32" s="555"/>
      <c r="AC32" s="555"/>
      <c r="AD32" s="555"/>
      <c r="AE32" s="555"/>
      <c r="AF32" s="555"/>
      <c r="AG32" s="555"/>
      <c r="AH32" s="555"/>
      <c r="AI32" s="555"/>
      <c r="AJ32" s="555"/>
      <c r="AK32" s="555"/>
      <c r="AL32" s="555"/>
      <c r="AM32" s="555"/>
      <c r="AN32" s="555"/>
      <c r="AO32" s="555"/>
      <c r="AP32" s="50"/>
      <c r="AW32" s="50">
        <v>0</v>
      </c>
    </row>
    <row r="33" s="184" customFormat="1" ht="25.5" hidden="1" customHeight="1">
      <c r="A33" s="106"/>
      <c r="B33" s="106"/>
      <c r="C33" s="106"/>
      <c r="D33" s="106"/>
      <c r="E33" s="106"/>
      <c r="F33" s="106"/>
      <c r="G33" s="106"/>
      <c r="H33" s="106"/>
      <c r="I33" s="106"/>
      <c r="J33" s="106"/>
      <c r="K33" s="106"/>
      <c r="L33" s="106"/>
      <c r="M33" s="337"/>
      <c r="N33" s="106"/>
      <c r="O33" s="106"/>
      <c r="P33" s="106"/>
      <c r="U33" s="556" t="s">
        <v>42</v>
      </c>
      <c r="V33" s="556"/>
      <c r="W33" s="557"/>
      <c r="X33" s="558" t="str">
        <f>IF(TITLE_NAME_OR_PR_CHANGE="",IF(TITLE_NAME_OR_PR="","",TITLE_NAME_OR_PR),TITLE_NAME_OR_PR_CHANGE)</f>
        <v/>
      </c>
      <c r="Y33" s="558"/>
      <c r="Z33" s="558"/>
      <c r="AA33" s="558"/>
      <c r="AB33" s="558"/>
      <c r="AC33" s="558"/>
      <c r="AD33" s="558"/>
      <c r="AE33" s="558"/>
      <c r="AF33" s="50"/>
      <c r="AG33" s="558" t="str">
        <f>IF(TITLE_NAME_OR_PR_CHANGE="",IF(TITLE_NAME_OR_PR="","",TITLE_NAME_OR_PR),TITLE_NAME_OR_PR_CHANGE)</f>
        <v/>
      </c>
      <c r="AH33" s="558"/>
      <c r="AI33" s="558"/>
      <c r="AJ33" s="558"/>
      <c r="AK33" s="558"/>
      <c r="AL33" s="558"/>
      <c r="AM33" s="558"/>
      <c r="AN33" s="558"/>
      <c r="AO33" s="50"/>
      <c r="AP33" s="50"/>
      <c r="AQ33" s="559"/>
      <c r="AR33" s="129"/>
      <c r="AS33" s="129"/>
      <c r="AT33" s="129"/>
      <c r="AU33" s="129"/>
      <c r="AV33" s="129"/>
      <c r="AW33" s="184">
        <v>0</v>
      </c>
    </row>
    <row r="34" s="184" customFormat="1" ht="18.75" hidden="1" customHeight="1">
      <c r="A34" s="106"/>
      <c r="B34" s="106"/>
      <c r="C34" s="106"/>
      <c r="D34" s="106"/>
      <c r="E34" s="106"/>
      <c r="F34" s="106"/>
      <c r="G34" s="106"/>
      <c r="H34" s="106"/>
      <c r="I34" s="106"/>
      <c r="J34" s="106"/>
      <c r="K34" s="106"/>
      <c r="L34" s="106"/>
      <c r="M34" s="337"/>
      <c r="N34" s="106"/>
      <c r="O34" s="106"/>
      <c r="P34" s="106"/>
      <c r="U34" s="556" t="s">
        <v>423</v>
      </c>
      <c r="V34" s="556"/>
      <c r="W34" s="557"/>
      <c r="X34" s="560" t="str">
        <f>IF(TITLE_DATE_PR_CHANGE="",IF(TITLE_DATE_PR="","",TITLE_DATE_PR),TITLE_DATE_PR_CHANGE)</f>
        <v>45406</v>
      </c>
      <c r="Y34" s="560"/>
      <c r="Z34" s="560"/>
      <c r="AA34" s="560"/>
      <c r="AB34" s="560"/>
      <c r="AC34" s="560"/>
      <c r="AD34" s="560"/>
      <c r="AE34" s="560"/>
      <c r="AF34" s="50"/>
      <c r="AG34" s="560" t="str">
        <f>IF(TITLE_DATE_PR_CHANGE="",IF(TITLE_DATE_PR="","",TITLE_DATE_PR),TITLE_DATE_PR_CHANGE)</f>
        <v>45406</v>
      </c>
      <c r="AH34" s="560"/>
      <c r="AI34" s="560"/>
      <c r="AJ34" s="560"/>
      <c r="AK34" s="560"/>
      <c r="AL34" s="560"/>
      <c r="AM34" s="560"/>
      <c r="AN34" s="560"/>
      <c r="AO34" s="50"/>
      <c r="AP34" s="50"/>
      <c r="AQ34" s="559"/>
      <c r="AR34" s="129"/>
      <c r="AS34" s="129"/>
      <c r="AT34" s="129"/>
      <c r="AU34" s="129"/>
      <c r="AV34" s="129"/>
      <c r="AW34" s="184">
        <v>0</v>
      </c>
    </row>
    <row r="35" s="184" customFormat="1" ht="18.75" hidden="1" customHeight="1">
      <c r="A35" s="106"/>
      <c r="B35" s="106"/>
      <c r="C35" s="106"/>
      <c r="D35" s="106"/>
      <c r="E35" s="106"/>
      <c r="F35" s="106"/>
      <c r="G35" s="106"/>
      <c r="H35" s="106"/>
      <c r="I35" s="106"/>
      <c r="J35" s="106"/>
      <c r="K35" s="106"/>
      <c r="L35" s="106"/>
      <c r="M35" s="337"/>
      <c r="N35" s="106"/>
      <c r="O35" s="106"/>
      <c r="P35" s="106"/>
      <c r="U35" s="556" t="s">
        <v>424</v>
      </c>
      <c r="V35" s="556"/>
      <c r="W35" s="557"/>
      <c r="X35" s="558" t="str">
        <f>IF(TITLE_NUMBER_PR_CHANGE="",IF(TITLE_NUMBER_PR="","",TITLE_NUMBER_PR),TITLE_NUMBER_PR_CHANGE)</f>
        <v>ПГ/01/950</v>
      </c>
      <c r="Y35" s="558"/>
      <c r="Z35" s="558"/>
      <c r="AA35" s="558"/>
      <c r="AB35" s="558"/>
      <c r="AC35" s="558"/>
      <c r="AD35" s="558"/>
      <c r="AE35" s="558"/>
      <c r="AF35" s="50"/>
      <c r="AG35" s="558" t="str">
        <f>IF(TITLE_NUMBER_PR_CHANGE="",IF(TITLE_NUMBER_PR="","",TITLE_NUMBER_PR),TITLE_NUMBER_PR_CHANGE)</f>
        <v>ПГ/01/950</v>
      </c>
      <c r="AH35" s="558"/>
      <c r="AI35" s="558"/>
      <c r="AJ35" s="558"/>
      <c r="AK35" s="558"/>
      <c r="AL35" s="558"/>
      <c r="AM35" s="558"/>
      <c r="AN35" s="558"/>
      <c r="AO35" s="50"/>
      <c r="AP35" s="50"/>
      <c r="AQ35" s="559"/>
      <c r="AR35" s="129"/>
      <c r="AS35" s="129"/>
      <c r="AT35" s="129"/>
      <c r="AU35" s="129"/>
      <c r="AV35" s="129"/>
      <c r="AW35" s="184">
        <v>0</v>
      </c>
    </row>
    <row r="36" s="184" customFormat="1" ht="18.75" hidden="1" customHeight="1">
      <c r="A36" s="106"/>
      <c r="B36" s="106"/>
      <c r="C36" s="106"/>
      <c r="D36" s="106"/>
      <c r="E36" s="106"/>
      <c r="F36" s="106"/>
      <c r="G36" s="106"/>
      <c r="H36" s="106"/>
      <c r="I36" s="106"/>
      <c r="J36" s="106"/>
      <c r="K36" s="106"/>
      <c r="L36" s="106"/>
      <c r="M36" s="337"/>
      <c r="N36" s="106"/>
      <c r="O36" s="106"/>
      <c r="P36" s="106"/>
      <c r="U36" s="556" t="s">
        <v>43</v>
      </c>
      <c r="V36" s="556"/>
      <c r="W36" s="557"/>
      <c r="X36" s="558" t="str">
        <f>IF(TITLE_IST_PUB_CHANGE="",IF(TITLE_IST_PUB="","",TITLE_IST_PUB),TITLE_IST_PUB_CHANGE)</f>
        <v/>
      </c>
      <c r="Y36" s="558"/>
      <c r="Z36" s="558"/>
      <c r="AA36" s="558"/>
      <c r="AB36" s="558"/>
      <c r="AC36" s="558"/>
      <c r="AD36" s="558"/>
      <c r="AE36" s="558"/>
      <c r="AF36" s="50"/>
      <c r="AG36" s="558" t="str">
        <f>IF(TITLE_IST_PUB_CHANGE="",IF(TITLE_IST_PUB="","",TITLE_IST_PUB),TITLE_IST_PUB_CHANGE)</f>
        <v/>
      </c>
      <c r="AH36" s="558"/>
      <c r="AI36" s="558"/>
      <c r="AJ36" s="558"/>
      <c r="AK36" s="558"/>
      <c r="AL36" s="558"/>
      <c r="AM36" s="558"/>
      <c r="AN36" s="558"/>
      <c r="AO36" s="50"/>
      <c r="AP36" s="50"/>
      <c r="AQ36" s="559"/>
      <c r="AR36" s="129"/>
      <c r="AS36" s="129"/>
      <c r="AT36" s="129"/>
      <c r="AU36" s="129"/>
      <c r="AV36" s="129"/>
      <c r="AW36" s="184">
        <v>0</v>
      </c>
    </row>
    <row r="37" ht="14.25" customHeight="1">
      <c r="R37" s="553"/>
      <c r="S37" s="553"/>
      <c r="T37" s="553"/>
      <c r="U37" s="554"/>
      <c r="V37" s="91"/>
      <c r="W37" s="91"/>
      <c r="X37" s="555"/>
      <c r="Y37" s="555"/>
      <c r="Z37" s="555"/>
      <c r="AA37" s="555"/>
      <c r="AB37" s="555"/>
      <c r="AC37" s="555"/>
      <c r="AD37" s="555"/>
      <c r="AE37" s="555"/>
      <c r="AF37" s="555"/>
      <c r="AG37" s="555"/>
      <c r="AH37" s="555"/>
      <c r="AI37" s="555"/>
      <c r="AJ37" s="555"/>
      <c r="AK37" s="555"/>
      <c r="AL37" s="555"/>
      <c r="AM37" s="555"/>
      <c r="AN37" s="555"/>
      <c r="AO37" s="555"/>
      <c r="AP37" s="50"/>
      <c r="AW37" s="50">
        <v>0</v>
      </c>
    </row>
    <row r="38" s="184" customFormat="1" ht="18.75" customHeight="1">
      <c r="A38" s="106"/>
      <c r="B38" s="106"/>
      <c r="C38" s="106"/>
      <c r="D38" s="106"/>
      <c r="E38" s="106"/>
      <c r="F38" s="106"/>
      <c r="G38" s="106"/>
      <c r="H38" s="106"/>
      <c r="I38" s="106"/>
      <c r="J38" s="106"/>
      <c r="K38" s="106"/>
      <c r="L38" s="106"/>
      <c r="M38" s="337"/>
      <c r="N38" s="106"/>
      <c r="O38" s="106"/>
      <c r="P38" s="106"/>
      <c r="U38" s="556" t="s">
        <v>425</v>
      </c>
      <c r="V38" s="556"/>
      <c r="W38" s="557"/>
      <c r="X38" s="560" t="str">
        <f>IF(TITLE_DATE_PR_CHANGE="",IF(TITLE_DATE_PR="","",TITLE_DATE_PR),TITLE_DATE_PR_CHANGE)</f>
        <v>45406</v>
      </c>
      <c r="Y38" s="560"/>
      <c r="Z38" s="560"/>
      <c r="AA38" s="560"/>
      <c r="AB38" s="560"/>
      <c r="AC38" s="560"/>
      <c r="AD38" s="560"/>
      <c r="AE38" s="560"/>
      <c r="AF38" s="50"/>
      <c r="AG38" s="560" t="str">
        <f>IF(TITLE_DATE_PR_CHANGE="",IF(TITLE_DATE_PR="","",TITLE_DATE_PR),TITLE_DATE_PR_CHANGE)</f>
        <v>45406</v>
      </c>
      <c r="AH38" s="560"/>
      <c r="AI38" s="560"/>
      <c r="AJ38" s="560"/>
      <c r="AK38" s="560"/>
      <c r="AL38" s="560"/>
      <c r="AM38" s="560"/>
      <c r="AN38" s="560"/>
      <c r="AO38" s="50"/>
      <c r="AP38" s="50"/>
      <c r="AQ38" s="559"/>
      <c r="AR38" s="129"/>
      <c r="AS38" s="129"/>
      <c r="AT38" s="129"/>
      <c r="AU38" s="129"/>
      <c r="AV38" s="129"/>
      <c r="AW38" s="184">
        <v>0</v>
      </c>
    </row>
    <row r="39" s="184" customFormat="1" ht="18.75" customHeight="1">
      <c r="A39" s="106"/>
      <c r="B39" s="106"/>
      <c r="C39" s="106"/>
      <c r="D39" s="106"/>
      <c r="E39" s="106"/>
      <c r="F39" s="106"/>
      <c r="G39" s="106"/>
      <c r="H39" s="106"/>
      <c r="I39" s="106"/>
      <c r="J39" s="106"/>
      <c r="K39" s="106"/>
      <c r="L39" s="106"/>
      <c r="M39" s="337"/>
      <c r="N39" s="106"/>
      <c r="O39" s="106"/>
      <c r="P39" s="106"/>
      <c r="U39" s="556" t="s">
        <v>426</v>
      </c>
      <c r="V39" s="556"/>
      <c r="W39" s="557"/>
      <c r="X39" s="558" t="str">
        <f>IF(TITLE_NUMBER_PR_CHANGE="",IF(TITLE_NUMBER_PR="","",TITLE_NUMBER_PR),TITLE_NUMBER_PR_CHANGE)</f>
        <v>ПГ/01/950</v>
      </c>
      <c r="Y39" s="558"/>
      <c r="Z39" s="558"/>
      <c r="AA39" s="558"/>
      <c r="AB39" s="558"/>
      <c r="AC39" s="558"/>
      <c r="AD39" s="558"/>
      <c r="AE39" s="558"/>
      <c r="AF39" s="50"/>
      <c r="AG39" s="558" t="str">
        <f>IF(TITLE_NUMBER_PR_CHANGE="",IF(TITLE_NUMBER_PR="","",TITLE_NUMBER_PR),TITLE_NUMBER_PR_CHANGE)</f>
        <v>ПГ/01/950</v>
      </c>
      <c r="AH39" s="558"/>
      <c r="AI39" s="558"/>
      <c r="AJ39" s="558"/>
      <c r="AK39" s="558"/>
      <c r="AL39" s="558"/>
      <c r="AM39" s="558"/>
      <c r="AN39" s="558"/>
      <c r="AO39" s="50"/>
      <c r="AP39" s="50"/>
      <c r="AQ39" s="559"/>
      <c r="AR39" s="129"/>
      <c r="AS39" s="129"/>
      <c r="AT39" s="129"/>
      <c r="AU39" s="129"/>
      <c r="AV39" s="129"/>
      <c r="AW39" s="184">
        <v>0</v>
      </c>
    </row>
    <row r="40" s="184" customFormat="1" ht="0" customHeight="1">
      <c r="A40" s="106"/>
      <c r="B40" s="106"/>
      <c r="C40" s="106"/>
      <c r="D40" s="106"/>
      <c r="E40" s="106"/>
      <c r="F40" s="106"/>
      <c r="G40" s="106"/>
      <c r="H40" s="106"/>
      <c r="I40" s="106"/>
      <c r="J40" s="106"/>
      <c r="K40" s="106"/>
      <c r="L40" s="106"/>
      <c r="M40" s="337"/>
      <c r="N40" s="106"/>
      <c r="O40" s="106"/>
      <c r="P40" s="106"/>
      <c r="U40" s="50"/>
      <c r="V40" s="50"/>
      <c r="W40" s="140"/>
      <c r="X40" s="50"/>
      <c r="Y40" s="50"/>
      <c r="Z40" s="50"/>
      <c r="AA40" s="50"/>
      <c r="AB40" s="50"/>
      <c r="AC40" s="50"/>
      <c r="AD40" s="50"/>
      <c r="AE40" s="50"/>
      <c r="AF40" s="57" t="s">
        <v>427</v>
      </c>
      <c r="AG40" s="50"/>
      <c r="AH40" s="50"/>
      <c r="AI40" s="50"/>
      <c r="AJ40" s="50"/>
      <c r="AK40" s="50"/>
      <c r="AL40" s="50"/>
      <c r="AM40" s="50"/>
      <c r="AN40" s="50"/>
      <c r="AO40" s="57" t="s">
        <v>427</v>
      </c>
      <c r="AR40" s="129"/>
      <c r="AS40" s="129"/>
      <c r="AT40" s="129"/>
      <c r="AU40" s="129"/>
      <c r="AV40" s="129"/>
      <c r="AW40" s="184">
        <v>0</v>
      </c>
    </row>
    <row r="41" ht="14.65" customHeight="1">
      <c r="R41" s="553"/>
      <c r="S41" s="553"/>
      <c r="T41" s="553"/>
      <c r="U41" s="554"/>
      <c r="V41" s="91"/>
      <c r="W41" s="561"/>
      <c r="X41" s="562"/>
      <c r="Y41" s="562"/>
      <c r="Z41" s="562"/>
      <c r="AA41" s="562"/>
      <c r="AB41" s="562"/>
      <c r="AC41" s="562"/>
      <c r="AD41" s="562"/>
      <c r="AE41" s="562"/>
      <c r="AF41" s="562"/>
      <c r="AG41" s="562"/>
      <c r="AH41" s="562"/>
      <c r="AI41" s="562"/>
      <c r="AJ41" s="562"/>
      <c r="AK41" s="562"/>
      <c r="AL41" s="562"/>
      <c r="AM41" s="562"/>
      <c r="AN41" s="562"/>
      <c r="AO41" s="562"/>
      <c r="AW41" s="50">
        <v>14</v>
      </c>
    </row>
    <row r="42" ht="14.65" customHeight="1">
      <c r="R42" s="553"/>
      <c r="S42" s="553"/>
      <c r="T42" s="553"/>
      <c r="U42" s="157" t="s">
        <v>302</v>
      </c>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t="s">
        <v>303</v>
      </c>
      <c r="AW42" s="50">
        <v>14</v>
      </c>
    </row>
    <row r="43" ht="14.65" customHeight="1">
      <c r="R43" s="553"/>
      <c r="S43" s="553"/>
      <c r="T43" s="553"/>
      <c r="U43" s="498" t="s">
        <v>88</v>
      </c>
      <c r="V43" s="362" t="s">
        <v>428</v>
      </c>
      <c r="W43" s="563"/>
      <c r="X43" s="564" t="s">
        <v>429</v>
      </c>
      <c r="Y43" s="598"/>
      <c r="Z43" s="598"/>
      <c r="AA43" s="598"/>
      <c r="AB43" s="598"/>
      <c r="AC43" s="565"/>
      <c r="AD43" s="565"/>
      <c r="AE43" s="566"/>
      <c r="AF43" s="567" t="s">
        <v>430</v>
      </c>
      <c r="AG43" s="564" t="s">
        <v>429</v>
      </c>
      <c r="AH43" s="598"/>
      <c r="AI43" s="598"/>
      <c r="AJ43" s="598"/>
      <c r="AK43" s="598"/>
      <c r="AL43" s="565"/>
      <c r="AM43" s="565"/>
      <c r="AN43" s="566"/>
      <c r="AO43" s="567" t="s">
        <v>431</v>
      </c>
      <c r="AP43" s="568" t="s">
        <v>432</v>
      </c>
      <c r="AQ43" s="157"/>
      <c r="AW43" s="50">
        <v>14</v>
      </c>
    </row>
    <row r="44" ht="35.649999999999999" customHeight="1">
      <c r="R44" s="553"/>
      <c r="S44" s="553"/>
      <c r="T44" s="553"/>
      <c r="U44" s="498"/>
      <c r="V44" s="362"/>
      <c r="W44" s="569"/>
      <c r="X44" s="321" t="s">
        <v>454</v>
      </c>
      <c r="Y44" s="157" t="s">
        <v>455</v>
      </c>
      <c r="Z44" s="157"/>
      <c r="AA44" s="157"/>
      <c r="AB44" s="157"/>
      <c r="AC44" s="321" t="s">
        <v>436</v>
      </c>
      <c r="AD44" s="640"/>
      <c r="AE44" s="322"/>
      <c r="AF44" s="571"/>
      <c r="AG44" s="321" t="s">
        <v>454</v>
      </c>
      <c r="AH44" s="157" t="s">
        <v>455</v>
      </c>
      <c r="AI44" s="157"/>
      <c r="AJ44" s="157"/>
      <c r="AK44" s="157"/>
      <c r="AL44" s="321" t="s">
        <v>436</v>
      </c>
      <c r="AM44" s="640"/>
      <c r="AN44" s="322"/>
      <c r="AO44" s="571"/>
      <c r="AP44" s="572"/>
      <c r="AQ44" s="157"/>
      <c r="AW44" s="50">
        <v>34</v>
      </c>
    </row>
    <row r="45" ht="14.65" customHeight="1">
      <c r="R45" s="553"/>
      <c r="S45" s="553"/>
      <c r="T45" s="553"/>
      <c r="U45" s="498"/>
      <c r="V45" s="362"/>
      <c r="W45" s="569"/>
      <c r="X45" s="325"/>
      <c r="Y45" s="432" t="s">
        <v>456</v>
      </c>
      <c r="Z45" s="429" t="s">
        <v>457</v>
      </c>
      <c r="AA45" s="430"/>
      <c r="AB45" s="431"/>
      <c r="AC45" s="327"/>
      <c r="AD45" s="641"/>
      <c r="AE45" s="328"/>
      <c r="AF45" s="571"/>
      <c r="AG45" s="325"/>
      <c r="AH45" s="432" t="s">
        <v>456</v>
      </c>
      <c r="AI45" s="429" t="s">
        <v>457</v>
      </c>
      <c r="AJ45" s="430"/>
      <c r="AK45" s="431"/>
      <c r="AL45" s="327"/>
      <c r="AM45" s="641"/>
      <c r="AN45" s="328"/>
      <c r="AO45" s="571"/>
      <c r="AP45" s="572"/>
      <c r="AQ45" s="157"/>
      <c r="AW45" s="50">
        <v>14</v>
      </c>
    </row>
    <row r="46" ht="27.300000000000001" customHeight="1">
      <c r="R46" s="553"/>
      <c r="S46" s="553"/>
      <c r="T46" s="553"/>
      <c r="U46" s="498"/>
      <c r="V46" s="362"/>
      <c r="W46" s="569"/>
      <c r="X46" s="325"/>
      <c r="Y46" s="642"/>
      <c r="Z46" s="432" t="s">
        <v>458</v>
      </c>
      <c r="AA46" s="429" t="s">
        <v>459</v>
      </c>
      <c r="AB46" s="431"/>
      <c r="AC46" s="432" t="s">
        <v>446</v>
      </c>
      <c r="AD46" s="433" t="s">
        <v>447</v>
      </c>
      <c r="AE46" s="434"/>
      <c r="AF46" s="571"/>
      <c r="AG46" s="325"/>
      <c r="AH46" s="642"/>
      <c r="AI46" s="432" t="s">
        <v>458</v>
      </c>
      <c r="AJ46" s="429" t="s">
        <v>459</v>
      </c>
      <c r="AK46" s="431"/>
      <c r="AL46" s="432" t="s">
        <v>446</v>
      </c>
      <c r="AM46" s="433" t="s">
        <v>447</v>
      </c>
      <c r="AN46" s="434"/>
      <c r="AO46" s="571"/>
      <c r="AP46" s="572"/>
      <c r="AQ46" s="157"/>
      <c r="AW46" s="50">
        <v>26</v>
      </c>
    </row>
    <row r="47" ht="65.25" customHeight="1">
      <c r="A47" s="106"/>
      <c r="B47" s="106" t="s">
        <v>135</v>
      </c>
      <c r="C47" s="106" t="s">
        <v>136</v>
      </c>
      <c r="D47" s="106" t="s">
        <v>137</v>
      </c>
      <c r="E47" s="337" t="s">
        <v>437</v>
      </c>
      <c r="F47" s="337" t="s">
        <v>438</v>
      </c>
      <c r="G47" s="337" t="s">
        <v>439</v>
      </c>
      <c r="H47" s="337" t="s">
        <v>440</v>
      </c>
      <c r="I47" s="337" t="s">
        <v>441</v>
      </c>
      <c r="J47" s="337" t="s">
        <v>442</v>
      </c>
      <c r="K47" s="337" t="s">
        <v>443</v>
      </c>
      <c r="L47" s="337" t="s">
        <v>460</v>
      </c>
      <c r="M47" s="337" t="s">
        <v>418</v>
      </c>
      <c r="R47" s="553"/>
      <c r="S47" s="553"/>
      <c r="T47" s="553"/>
      <c r="U47" s="498"/>
      <c r="V47" s="362"/>
      <c r="W47" s="573"/>
      <c r="X47" s="327"/>
      <c r="Y47" s="435"/>
      <c r="Z47" s="435"/>
      <c r="AA47" s="246" t="s">
        <v>461</v>
      </c>
      <c r="AB47" s="246" t="s">
        <v>462</v>
      </c>
      <c r="AC47" s="435"/>
      <c r="AD47" s="436"/>
      <c r="AE47" s="437"/>
      <c r="AF47" s="575"/>
      <c r="AG47" s="327"/>
      <c r="AH47" s="435"/>
      <c r="AI47" s="435"/>
      <c r="AJ47" s="246" t="s">
        <v>461</v>
      </c>
      <c r="AK47" s="246" t="s">
        <v>462</v>
      </c>
      <c r="AL47" s="435"/>
      <c r="AM47" s="436"/>
      <c r="AN47" s="437"/>
      <c r="AO47" s="575"/>
      <c r="AP47" s="576"/>
      <c r="AQ47" s="157"/>
      <c r="AW47" s="50">
        <v>62</v>
      </c>
    </row>
    <row r="48" s="131" customFormat="1" ht="11.25" hidden="1" customHeight="1">
      <c r="A48" s="106"/>
      <c r="B48" s="106"/>
      <c r="C48" s="106"/>
      <c r="D48" s="106"/>
      <c r="E48" s="106"/>
      <c r="F48" s="106"/>
      <c r="G48" s="106"/>
      <c r="H48" s="106"/>
      <c r="I48" s="106"/>
      <c r="J48" s="106"/>
      <c r="K48" s="106"/>
      <c r="L48" s="106"/>
      <c r="M48" s="337"/>
      <c r="N48" s="60"/>
      <c r="O48" s="60"/>
      <c r="P48" s="60"/>
      <c r="Q48" s="577"/>
      <c r="R48" s="578"/>
      <c r="S48" s="579">
        <v>1</v>
      </c>
      <c r="T48" s="579"/>
      <c r="U48" s="580" t="s">
        <v>109</v>
      </c>
      <c r="V48" s="581" t="s">
        <v>110</v>
      </c>
      <c r="W48" s="582" t="str">
        <f ca="1">OFFSET(W48,0,-1)</f>
        <v>2</v>
      </c>
      <c r="X48" s="583">
        <f ca="1">OFFSET(X48,0,-1)+1</f>
        <v>3</v>
      </c>
      <c r="Y48" s="440"/>
      <c r="Z48" s="440"/>
      <c r="AA48" s="440">
        <f ca="1">OFFSET(AA48,0,-1)+1</f>
        <v>1</v>
      </c>
      <c r="AB48" s="440">
        <f ca="1">OFFSET(AB48,0,-1)+1</f>
        <v>2</v>
      </c>
      <c r="AC48" s="583">
        <f ca="1">OFFSET(AC48,0,-1)+1</f>
        <v>3</v>
      </c>
      <c r="AD48" s="583">
        <f ca="1">OFFSET(AD48,0,-1)+1</f>
        <v>4</v>
      </c>
      <c r="AE48" s="583"/>
      <c r="AF48" s="583">
        <f ca="1">OFFSET(AF48,0,-2)+1</f>
        <v>5</v>
      </c>
      <c r="AG48" s="583">
        <f ca="1">OFFSET(AG48,0,-1)+1</f>
        <v>6</v>
      </c>
      <c r="AH48" s="583"/>
      <c r="AI48" s="583"/>
      <c r="AJ48" s="583">
        <f ca="1">OFFSET(AJ48,0,-1)+1</f>
        <v>1</v>
      </c>
      <c r="AK48" s="583">
        <f ca="1">OFFSET(AK48,0,-1)+1</f>
        <v>2</v>
      </c>
      <c r="AL48" s="583">
        <f ca="1">OFFSET(AL48,0,-1)+1</f>
        <v>3</v>
      </c>
      <c r="AM48" s="583">
        <f ca="1">OFFSET(AM48,0,-1)+1</f>
        <v>4</v>
      </c>
      <c r="AN48" s="583"/>
      <c r="AO48" s="583">
        <f ca="1">OFFSET(AO48,0,-2)+1</f>
        <v>5</v>
      </c>
      <c r="AP48" s="582">
        <f ca="1">OFFSET(AP48,0,-1)</f>
        <v>5</v>
      </c>
      <c r="AQ48" s="583">
        <f ca="1">OFFSET(AQ48,0,-1)+1</f>
        <v>6</v>
      </c>
      <c r="AR48" s="57"/>
      <c r="AS48" s="57"/>
      <c r="AT48" s="57"/>
      <c r="AU48" s="57"/>
      <c r="AV48" s="57"/>
      <c r="AW48" s="131">
        <v>0</v>
      </c>
    </row>
    <row r="49" ht="22" customHeight="1">
      <c r="A49" s="264" t="s">
        <v>173</v>
      </c>
      <c r="B49" s="264"/>
      <c r="C49" s="264"/>
      <c r="D49" s="264"/>
      <c r="E49" s="589">
        <v>1</v>
      </c>
      <c r="F49" s="264"/>
      <c r="G49" s="264"/>
      <c r="H49" s="264"/>
      <c r="I49" s="264"/>
      <c r="J49" s="264"/>
      <c r="K49" s="264"/>
      <c r="L49" s="264"/>
      <c r="M49" s="337"/>
      <c r="N49" s="86"/>
      <c r="O49" s="86"/>
      <c r="P49" s="86"/>
      <c r="Q49" s="60"/>
      <c r="R49" s="143"/>
      <c r="S49" s="143"/>
      <c r="T49" s="497"/>
      <c r="U49" s="498">
        <f>INDEX(PT_DIFFERENTIATION_NUM_NTAR,MATCH(A49,PT_DIFFERENTIATION_NTAR_ID,0))</f>
        <v>0</v>
      </c>
      <c r="V49" s="499" t="s">
        <v>123</v>
      </c>
      <c r="W49" s="500"/>
      <c r="X49" s="501"/>
      <c r="Y49" s="502"/>
      <c r="Z49" s="502"/>
      <c r="AA49" s="502"/>
      <c r="AB49" s="502"/>
      <c r="AC49" s="502"/>
      <c r="AD49" s="502"/>
      <c r="AE49" s="502"/>
      <c r="AF49" s="503"/>
      <c r="AG49" s="501" t="str">
        <f>INDEX(PT_DIFFERENTIATION_NTAR,MATCH(A49,PT_DIFFERENTIATION_NTAR_ID,0))</f>
        <v/>
      </c>
      <c r="AH49" s="502"/>
      <c r="AI49" s="502"/>
      <c r="AJ49" s="502"/>
      <c r="AK49" s="502"/>
      <c r="AL49" s="502"/>
      <c r="AM49" s="502"/>
      <c r="AN49" s="502"/>
      <c r="AO49" s="502"/>
      <c r="AP49" s="503"/>
      <c r="AQ49" s="5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29"/>
      <c r="AT49" s="129" t="str">
        <f t="shared" si="19"/>
        <v xml:space="preserve">Наименование тарифа</v>
      </c>
      <c r="AU49" s="129"/>
      <c r="AV49" s="129"/>
      <c r="AW49" s="50">
        <v>21</v>
      </c>
    </row>
    <row r="50" ht="22" customHeight="1">
      <c r="A50" s="264" t="s">
        <v>173</v>
      </c>
      <c r="B50" s="264" t="s">
        <v>174</v>
      </c>
      <c r="C50" s="264"/>
      <c r="D50" s="264"/>
      <c r="E50" s="590"/>
      <c r="F50" s="589">
        <v>1</v>
      </c>
      <c r="G50" s="264"/>
      <c r="H50" s="264"/>
      <c r="I50" s="264"/>
      <c r="J50" s="264"/>
      <c r="K50" s="264"/>
      <c r="L50" s="264"/>
      <c r="M50" s="337"/>
      <c r="N50" s="86"/>
      <c r="O50" s="86"/>
      <c r="P50" s="86"/>
      <c r="Q50" s="51"/>
      <c r="R50" s="506"/>
      <c r="S50" s="50"/>
      <c r="T50" s="507"/>
      <c r="U50" s="498" t="str">
        <f>INDEX(PT_DIFFERENTIATION_NUM_TER,MATCH(B50,PT_DIFFERENTIATION_TER_ID,0))</f>
        <v>.</v>
      </c>
      <c r="V50" s="508" t="s">
        <v>399</v>
      </c>
      <c r="W50" s="500"/>
      <c r="X50" s="501"/>
      <c r="Y50" s="502"/>
      <c r="Z50" s="502"/>
      <c r="AA50" s="502"/>
      <c r="AB50" s="502"/>
      <c r="AC50" s="502"/>
      <c r="AD50" s="502"/>
      <c r="AE50" s="502"/>
      <c r="AF50" s="503"/>
      <c r="AG50" s="501" t="str">
        <f>INDEX(PT_DIFFERENTIATION_TER,MATCH(B50,PT_DIFFERENTIATION_TER_ID,0))</f>
        <v/>
      </c>
      <c r="AH50" s="502"/>
      <c r="AI50" s="502"/>
      <c r="AJ50" s="502"/>
      <c r="AK50" s="502"/>
      <c r="AL50" s="502"/>
      <c r="AM50" s="502"/>
      <c r="AN50" s="502"/>
      <c r="AO50" s="502"/>
      <c r="AP50" s="503"/>
      <c r="AQ50" s="504" t="s">
        <v>400</v>
      </c>
      <c r="AS50" s="129"/>
      <c r="AT50" s="129" t="str">
        <f t="shared" si="19"/>
        <v xml:space="preserve">Территория действия тарифа</v>
      </c>
      <c r="AU50" s="129"/>
      <c r="AV50" s="129"/>
      <c r="AW50" s="50">
        <v>21</v>
      </c>
    </row>
    <row r="51" ht="24" customHeight="1">
      <c r="A51" s="264" t="s">
        <v>173</v>
      </c>
      <c r="B51" s="264" t="s">
        <v>174</v>
      </c>
      <c r="C51" s="264" t="s">
        <v>175</v>
      </c>
      <c r="D51" s="264"/>
      <c r="E51" s="590"/>
      <c r="F51" s="590"/>
      <c r="G51" s="589">
        <v>1</v>
      </c>
      <c r="H51" s="264"/>
      <c r="I51" s="264"/>
      <c r="J51" s="264"/>
      <c r="K51" s="264"/>
      <c r="L51" s="264"/>
      <c r="M51" s="337"/>
      <c r="N51" s="86"/>
      <c r="O51" s="86"/>
      <c r="P51" s="86"/>
      <c r="Q51" s="509"/>
      <c r="R51" s="506"/>
      <c r="S51" s="50"/>
      <c r="T51" s="507"/>
      <c r="U51" s="498" t="str">
        <f>INDEX(PT_DIFFERENTIATION_NUM_CS,MATCH(C51,PT_DIFFERENTIATION_CS_ID,0))</f>
        <v>..</v>
      </c>
      <c r="V51" s="510" t="s">
        <v>401</v>
      </c>
      <c r="W51" s="500"/>
      <c r="X51" s="501"/>
      <c r="Y51" s="502"/>
      <c r="Z51" s="502"/>
      <c r="AA51" s="502"/>
      <c r="AB51" s="502"/>
      <c r="AC51" s="502"/>
      <c r="AD51" s="502"/>
      <c r="AE51" s="502"/>
      <c r="AF51" s="503"/>
      <c r="AG51" s="501" t="str">
        <f>INDEX(PT_DIFFERENTIATION_CS,MATCH(C51,PT_DIFFERENTIATION_CS_ID,0))</f>
        <v/>
      </c>
      <c r="AH51" s="502"/>
      <c r="AI51" s="502"/>
      <c r="AJ51" s="502"/>
      <c r="AK51" s="502"/>
      <c r="AL51" s="502"/>
      <c r="AM51" s="502"/>
      <c r="AN51" s="502"/>
      <c r="AO51" s="502"/>
      <c r="AP51" s="503"/>
      <c r="AQ51" s="504" t="s">
        <v>402</v>
      </c>
      <c r="AS51" s="129"/>
      <c r="AT51" s="129" t="str">
        <f t="shared" si="19"/>
        <v xml:space="preserve">Наименование системы теплоснабжения</v>
      </c>
      <c r="AU51" s="129"/>
      <c r="AV51" s="129"/>
      <c r="AW51" s="50">
        <v>23</v>
      </c>
    </row>
    <row r="52" ht="22" customHeight="1">
      <c r="A52" s="264" t="s">
        <v>173</v>
      </c>
      <c r="B52" s="264" t="s">
        <v>174</v>
      </c>
      <c r="C52" s="264" t="s">
        <v>175</v>
      </c>
      <c r="D52" s="264" t="s">
        <v>176</v>
      </c>
      <c r="E52" s="590"/>
      <c r="F52" s="590"/>
      <c r="G52" s="590"/>
      <c r="H52" s="589">
        <v>1</v>
      </c>
      <c r="I52" s="264"/>
      <c r="J52" s="264"/>
      <c r="K52" s="264"/>
      <c r="L52" s="264"/>
      <c r="M52" s="337"/>
      <c r="N52" s="86"/>
      <c r="O52" s="86"/>
      <c r="P52" s="86"/>
      <c r="Q52" s="509"/>
      <c r="R52" s="506"/>
      <c r="S52" s="50"/>
      <c r="T52" s="507"/>
      <c r="U52" s="498" t="str">
        <f>INDEX(PT_DIFFERENTIATION_NUM_IST_TE,MATCH(D52,PT_DIFFERENTIATION_IST_TE_ID,0))</f>
        <v>...</v>
      </c>
      <c r="V52" s="511" t="s">
        <v>403</v>
      </c>
      <c r="W52" s="500"/>
      <c r="X52" s="501"/>
      <c r="Y52" s="502"/>
      <c r="Z52" s="502"/>
      <c r="AA52" s="502"/>
      <c r="AB52" s="502"/>
      <c r="AC52" s="502"/>
      <c r="AD52" s="502"/>
      <c r="AE52" s="502"/>
      <c r="AF52" s="503"/>
      <c r="AG52" s="501" t="str">
        <f>INDEX(PT_DIFFERENTIATION_IST_TE,MATCH(D52,PT_DIFFERENTIATION_IST_TE_ID,0))</f>
        <v/>
      </c>
      <c r="AH52" s="502"/>
      <c r="AI52" s="502"/>
      <c r="AJ52" s="502"/>
      <c r="AK52" s="502"/>
      <c r="AL52" s="502"/>
      <c r="AM52" s="502"/>
      <c r="AN52" s="502"/>
      <c r="AO52" s="502"/>
      <c r="AP52" s="503"/>
      <c r="AQ52" s="504" t="s">
        <v>404</v>
      </c>
      <c r="AS52" s="129"/>
      <c r="AT52" s="129" t="str">
        <f t="shared" si="19"/>
        <v xml:space="preserve">Источник тепловой энергии</v>
      </c>
      <c r="AU52" s="129"/>
      <c r="AV52" s="129"/>
      <c r="AW52" s="50">
        <v>21</v>
      </c>
    </row>
    <row r="53" s="57" customFormat="1" ht="0" customHeight="1">
      <c r="A53" s="591" t="s">
        <v>173</v>
      </c>
      <c r="B53" s="591" t="s">
        <v>174</v>
      </c>
      <c r="C53" s="591" t="s">
        <v>175</v>
      </c>
      <c r="D53" s="591" t="s">
        <v>176</v>
      </c>
      <c r="E53" s="590"/>
      <c r="F53" s="590"/>
      <c r="G53" s="590"/>
      <c r="H53" s="590"/>
      <c r="I53" s="157" t="str">
        <f>U52&amp;".1"</f>
        <v>....1</v>
      </c>
      <c r="J53" s="591"/>
      <c r="K53" s="591"/>
      <c r="L53" s="591"/>
      <c r="M53" s="592" t="s">
        <v>405</v>
      </c>
      <c r="N53" s="577"/>
      <c r="O53" s="577"/>
      <c r="P53" s="577"/>
      <c r="Q53" s="132">
        <v>1</v>
      </c>
      <c r="R53" s="132"/>
      <c r="S53" s="132"/>
      <c r="T53" s="513"/>
      <c r="U53" s="366"/>
      <c r="V53" s="600"/>
      <c r="W53" s="601"/>
      <c r="X53" s="602"/>
      <c r="Y53" s="603"/>
      <c r="Z53" s="603"/>
      <c r="AA53" s="603"/>
      <c r="AB53" s="603"/>
      <c r="AC53" s="603"/>
      <c r="AD53" s="603"/>
      <c r="AE53" s="603"/>
      <c r="AF53" s="604"/>
      <c r="AG53" s="602"/>
      <c r="AH53" s="603"/>
      <c r="AI53" s="603"/>
      <c r="AJ53" s="603"/>
      <c r="AK53" s="603"/>
      <c r="AL53" s="603"/>
      <c r="AM53" s="603"/>
      <c r="AN53" s="603"/>
      <c r="AO53" s="603"/>
      <c r="AP53" s="604"/>
      <c r="AQ53" s="605"/>
      <c r="AS53" s="129"/>
      <c r="AT53" s="129" t="str">
        <f t="shared" si="19"/>
        <v/>
      </c>
      <c r="AU53" s="129"/>
      <c r="AV53" s="129"/>
      <c r="AW53" s="57">
        <v>0</v>
      </c>
    </row>
    <row r="54" ht="22" customHeight="1">
      <c r="A54" s="264" t="s">
        <v>173</v>
      </c>
      <c r="B54" s="264" t="s">
        <v>174</v>
      </c>
      <c r="C54" s="264" t="s">
        <v>175</v>
      </c>
      <c r="D54" s="264" t="s">
        <v>176</v>
      </c>
      <c r="E54" s="590"/>
      <c r="F54" s="590"/>
      <c r="G54" s="590"/>
      <c r="H54" s="590"/>
      <c r="I54" s="73"/>
      <c r="J54" s="157" t="str">
        <f>I53&amp;".1"</f>
        <v>....1.1</v>
      </c>
      <c r="K54" s="264"/>
      <c r="L54" s="264"/>
      <c r="M54" s="337" t="s">
        <v>408</v>
      </c>
      <c r="Q54" s="132"/>
      <c r="R54" s="132">
        <v>1</v>
      </c>
      <c r="S54" s="57"/>
      <c r="T54" s="518"/>
      <c r="U54" s="498" t="str">
        <f>$J54</f>
        <v>....1.1</v>
      </c>
      <c r="V54" s="519" t="s">
        <v>409</v>
      </c>
      <c r="W54" s="500"/>
      <c r="X54" s="445"/>
      <c r="Y54" s="515"/>
      <c r="Z54" s="515"/>
      <c r="AA54" s="515"/>
      <c r="AB54" s="515"/>
      <c r="AC54" s="460"/>
      <c r="AD54" s="460"/>
      <c r="AE54" s="460"/>
      <c r="AF54" s="628"/>
      <c r="AG54" s="445"/>
      <c r="AH54" s="515"/>
      <c r="AI54" s="515"/>
      <c r="AJ54" s="515"/>
      <c r="AK54" s="515"/>
      <c r="AL54" s="515"/>
      <c r="AM54" s="515"/>
      <c r="AN54" s="515"/>
      <c r="AO54" s="515"/>
      <c r="AP54" s="516"/>
      <c r="AQ54" s="504" t="s">
        <v>410</v>
      </c>
      <c r="AS54" s="129"/>
      <c r="AT54" s="129" t="str">
        <f t="shared" si="19"/>
        <v xml:space="preserve">Группа потребителей</v>
      </c>
      <c r="AU54" s="129"/>
      <c r="AV54" s="129"/>
      <c r="AW54" s="50">
        <v>21</v>
      </c>
    </row>
    <row r="55" ht="22" customHeight="1">
      <c r="A55" s="264" t="s">
        <v>173</v>
      </c>
      <c r="B55" s="264" t="s">
        <v>174</v>
      </c>
      <c r="C55" s="264" t="s">
        <v>175</v>
      </c>
      <c r="D55" s="264" t="s">
        <v>176</v>
      </c>
      <c r="E55" s="590"/>
      <c r="F55" s="590"/>
      <c r="G55" s="590"/>
      <c r="H55" s="590"/>
      <c r="I55" s="73"/>
      <c r="J55" s="73"/>
      <c r="K55" s="157" t="str">
        <f>J54&amp;".1"</f>
        <v>....1.1.1</v>
      </c>
      <c r="L55" s="51"/>
      <c r="M55" s="337" t="s">
        <v>411</v>
      </c>
      <c r="Q55" s="132"/>
      <c r="R55" s="132"/>
      <c r="S55" s="57">
        <v>1</v>
      </c>
      <c r="T55" s="518"/>
      <c r="U55" s="498" t="str">
        <f>$K55</f>
        <v>....1.1.1</v>
      </c>
      <c r="V55" s="520"/>
      <c r="W55" s="500"/>
      <c r="X55" s="521"/>
      <c r="Y55" s="521"/>
      <c r="Z55" s="521"/>
      <c r="AA55" s="521"/>
      <c r="AB55" s="629"/>
      <c r="AC55" s="524"/>
      <c r="AD55" s="224" t="s">
        <v>66</v>
      </c>
      <c r="AE55" s="524"/>
      <c r="AF55" s="224" t="s">
        <v>66</v>
      </c>
      <c r="AG55" s="630"/>
      <c r="AH55" s="521"/>
      <c r="AI55" s="521"/>
      <c r="AJ55" s="521"/>
      <c r="AK55" s="523"/>
      <c r="AL55" s="524"/>
      <c r="AM55" s="224" t="s">
        <v>66</v>
      </c>
      <c r="AN55" s="524"/>
      <c r="AO55" s="224" t="s">
        <v>66</v>
      </c>
      <c r="AP55" s="585"/>
      <c r="AQ55" s="631" t="s">
        <v>451</v>
      </c>
      <c r="AR55" s="57" t="e">
        <f t="shared" ref="AR55:AR56" si="20">STRCHECKDATE(X57:AP57)</f>
        <v>#NAME?</v>
      </c>
      <c r="AS55" s="129"/>
      <c r="AT55" s="129" t="str">
        <f t="shared" si="19"/>
        <v/>
      </c>
      <c r="AU55" s="129"/>
      <c r="AV55" s="129"/>
      <c r="AW55" s="50">
        <v>21</v>
      </c>
    </row>
    <row r="56" ht="11.5" customHeight="1">
      <c r="A56" s="264" t="s">
        <v>173</v>
      </c>
      <c r="B56" s="264" t="s">
        <v>174</v>
      </c>
      <c r="C56" s="264" t="s">
        <v>175</v>
      </c>
      <c r="D56" s="264" t="s">
        <v>176</v>
      </c>
      <c r="E56" s="590"/>
      <c r="F56" s="590"/>
      <c r="G56" s="590"/>
      <c r="H56" s="590"/>
      <c r="I56" s="73"/>
      <c r="J56" s="73"/>
      <c r="K56" s="73"/>
      <c r="L56" s="157" t="str">
        <f>K55&amp;".1"</f>
        <v>....1.1.1.1</v>
      </c>
      <c r="M56" s="337"/>
      <c r="Q56" s="132"/>
      <c r="R56" s="132"/>
      <c r="S56" s="57">
        <v>1</v>
      </c>
      <c r="T56" s="518"/>
      <c r="U56" s="498" t="str">
        <f>$L56</f>
        <v>....1.1.1.1</v>
      </c>
      <c r="V56" s="632"/>
      <c r="W56" s="500"/>
      <c r="X56" s="522"/>
      <c r="Y56" s="521"/>
      <c r="Z56" s="521"/>
      <c r="AA56" s="521"/>
      <c r="AB56" s="629"/>
      <c r="AC56" s="527"/>
      <c r="AD56" s="224"/>
      <c r="AE56" s="527"/>
      <c r="AF56" s="224"/>
      <c r="AG56" s="630"/>
      <c r="AH56" s="521"/>
      <c r="AI56" s="521"/>
      <c r="AJ56" s="521"/>
      <c r="AK56" s="523"/>
      <c r="AL56" s="527"/>
      <c r="AM56" s="224"/>
      <c r="AN56" s="527"/>
      <c r="AO56" s="224"/>
      <c r="AP56" s="585"/>
      <c r="AQ56" s="525" t="s">
        <v>452</v>
      </c>
      <c r="AR56" s="57" t="e">
        <f t="shared" si="20"/>
        <v>#NAME?</v>
      </c>
      <c r="AS56" s="129"/>
      <c r="AT56" s="129" t="str">
        <f t="shared" si="19"/>
        <v/>
      </c>
      <c r="AU56" s="129"/>
      <c r="AV56" s="129"/>
      <c r="AW56" s="50">
        <v>11</v>
      </c>
    </row>
    <row r="57" ht="0" customHeight="1">
      <c r="A57" s="264" t="s">
        <v>173</v>
      </c>
      <c r="B57" s="264" t="s">
        <v>174</v>
      </c>
      <c r="C57" s="264" t="s">
        <v>175</v>
      </c>
      <c r="D57" s="264" t="s">
        <v>176</v>
      </c>
      <c r="E57" s="590"/>
      <c r="F57" s="590"/>
      <c r="G57" s="590"/>
      <c r="H57" s="590"/>
      <c r="I57" s="73"/>
      <c r="J57" s="73"/>
      <c r="K57" s="73"/>
      <c r="L57" s="157"/>
      <c r="M57" s="337"/>
      <c r="Q57" s="132"/>
      <c r="R57" s="132"/>
      <c r="S57" s="57"/>
      <c r="T57" s="518"/>
      <c r="U57" s="472"/>
      <c r="V57" s="500"/>
      <c r="W57" s="500"/>
      <c r="X57" s="522"/>
      <c r="Y57" s="522"/>
      <c r="Z57" s="522"/>
      <c r="AA57" s="522"/>
      <c r="AB57" s="633" t="str">
        <f>AC55&amp;"-"&amp;AE55</f>
        <v>-</v>
      </c>
      <c r="AC57" s="527"/>
      <c r="AD57" s="224"/>
      <c r="AE57" s="527"/>
      <c r="AF57" s="224"/>
      <c r="AG57" s="634"/>
      <c r="AH57" s="522"/>
      <c r="AI57" s="522"/>
      <c r="AJ57" s="522"/>
      <c r="AK57" s="526" t="str">
        <f>AL55&amp;"-"&amp;AN55</f>
        <v>-</v>
      </c>
      <c r="AL57" s="527"/>
      <c r="AM57" s="224"/>
      <c r="AN57" s="527"/>
      <c r="AO57" s="224"/>
      <c r="AP57" s="587"/>
      <c r="AQ57" s="528"/>
      <c r="AS57" s="129"/>
      <c r="AT57" s="129" t="str">
        <f t="shared" si="19"/>
        <v/>
      </c>
      <c r="AU57" s="129"/>
      <c r="AV57" s="129"/>
      <c r="AW57" s="50">
        <v>0</v>
      </c>
    </row>
    <row r="58" ht="11.5" customHeight="1">
      <c r="A58" s="264" t="s">
        <v>173</v>
      </c>
      <c r="B58" s="264" t="s">
        <v>174</v>
      </c>
      <c r="C58" s="264" t="s">
        <v>175</v>
      </c>
      <c r="D58" s="264" t="s">
        <v>176</v>
      </c>
      <c r="E58" s="590"/>
      <c r="F58" s="590"/>
      <c r="G58" s="590"/>
      <c r="H58" s="590"/>
      <c r="I58" s="73"/>
      <c r="J58" s="73"/>
      <c r="K58" s="157"/>
      <c r="L58" s="264"/>
      <c r="M58" s="337"/>
      <c r="Q58" s="132"/>
      <c r="R58" s="132"/>
      <c r="S58" s="132"/>
      <c r="T58" s="513"/>
      <c r="U58" s="529"/>
      <c r="V58" s="530" t="s">
        <v>453</v>
      </c>
      <c r="W58" s="214"/>
      <c r="X58" s="214"/>
      <c r="Y58" s="214"/>
      <c r="Z58" s="214"/>
      <c r="AA58" s="214"/>
      <c r="AB58" s="214"/>
      <c r="AC58" s="527"/>
      <c r="AD58" s="224"/>
      <c r="AE58" s="527"/>
      <c r="AF58" s="224"/>
      <c r="AG58" s="214"/>
      <c r="AH58" s="214"/>
      <c r="AI58" s="214"/>
      <c r="AJ58" s="214"/>
      <c r="AK58" s="214"/>
      <c r="AL58" s="527"/>
      <c r="AM58" s="224"/>
      <c r="AN58" s="527"/>
      <c r="AO58" s="224"/>
      <c r="AP58" s="531"/>
      <c r="AQ58" s="528"/>
      <c r="AS58" s="129"/>
      <c r="AT58" s="129" t="str">
        <f t="shared" si="19"/>
        <v xml:space="preserve">Добавить наименование поставщика</v>
      </c>
      <c r="AU58" s="129"/>
      <c r="AV58" s="129"/>
      <c r="AW58" s="50">
        <v>11</v>
      </c>
    </row>
    <row r="59" ht="11.5" customHeight="1">
      <c r="A59" s="264" t="s">
        <v>173</v>
      </c>
      <c r="B59" s="264" t="s">
        <v>174</v>
      </c>
      <c r="C59" s="264" t="s">
        <v>175</v>
      </c>
      <c r="D59" s="264" t="s">
        <v>176</v>
      </c>
      <c r="E59" s="590"/>
      <c r="F59" s="590"/>
      <c r="G59" s="590"/>
      <c r="H59" s="590"/>
      <c r="I59" s="73"/>
      <c r="J59" s="157"/>
      <c r="K59" s="264"/>
      <c r="L59" s="264"/>
      <c r="M59" s="337"/>
      <c r="Q59" s="132"/>
      <c r="R59" s="132"/>
      <c r="S59" s="132"/>
      <c r="T59" s="513"/>
      <c r="U59" s="529"/>
      <c r="V59" s="533" t="s">
        <v>413</v>
      </c>
      <c r="W59" s="214"/>
      <c r="X59" s="214"/>
      <c r="Y59" s="214"/>
      <c r="Z59" s="214"/>
      <c r="AA59" s="214"/>
      <c r="AB59" s="214"/>
      <c r="AC59" s="639"/>
      <c r="AD59" s="639"/>
      <c r="AE59" s="639"/>
      <c r="AF59" s="639"/>
      <c r="AG59" s="214"/>
      <c r="AH59" s="214"/>
      <c r="AI59" s="214"/>
      <c r="AJ59" s="214"/>
      <c r="AK59" s="214"/>
      <c r="AL59" s="214"/>
      <c r="AM59" s="214"/>
      <c r="AN59" s="214"/>
      <c r="AO59" s="214"/>
      <c r="AP59" s="531"/>
      <c r="AQ59" s="532"/>
      <c r="AS59" s="129"/>
      <c r="AT59" s="129" t="str">
        <f t="shared" si="19"/>
        <v xml:space="preserve">Добавить вид теплоносителя (параметры теплоносителя)</v>
      </c>
      <c r="AU59" s="129"/>
      <c r="AV59" s="129"/>
      <c r="AW59" s="50">
        <v>11</v>
      </c>
    </row>
    <row r="60" ht="11.5" customHeight="1">
      <c r="A60" s="264" t="s">
        <v>173</v>
      </c>
      <c r="B60" s="264" t="s">
        <v>174</v>
      </c>
      <c r="C60" s="264" t="s">
        <v>175</v>
      </c>
      <c r="D60" s="264" t="s">
        <v>176</v>
      </c>
      <c r="E60" s="590"/>
      <c r="F60" s="590"/>
      <c r="G60" s="590"/>
      <c r="H60" s="590"/>
      <c r="I60" s="157"/>
      <c r="J60" s="264"/>
      <c r="K60" s="264"/>
      <c r="L60" s="264"/>
      <c r="M60" s="337"/>
      <c r="Q60" s="132"/>
      <c r="R60" s="132"/>
      <c r="S60" s="132"/>
      <c r="T60" s="513"/>
      <c r="U60" s="529"/>
      <c r="V60" s="537" t="s">
        <v>414</v>
      </c>
      <c r="W60" s="214"/>
      <c r="X60" s="214"/>
      <c r="Y60" s="214"/>
      <c r="Z60" s="214"/>
      <c r="AA60" s="214"/>
      <c r="AB60" s="214"/>
      <c r="AC60" s="214"/>
      <c r="AD60" s="214"/>
      <c r="AE60" s="214"/>
      <c r="AF60" s="534"/>
      <c r="AG60" s="214"/>
      <c r="AH60" s="214"/>
      <c r="AI60" s="214"/>
      <c r="AJ60" s="214"/>
      <c r="AK60" s="214"/>
      <c r="AL60" s="214"/>
      <c r="AM60" s="214"/>
      <c r="AN60" s="214"/>
      <c r="AO60" s="534"/>
      <c r="AP60" s="214"/>
      <c r="AQ60" s="535"/>
      <c r="AS60" s="129"/>
      <c r="AT60" s="129" t="str">
        <f t="shared" si="19"/>
        <v xml:space="preserve">Добавить группу потребителей</v>
      </c>
      <c r="AU60" s="129"/>
      <c r="AV60" s="129"/>
      <c r="AW60" s="50">
        <v>11</v>
      </c>
    </row>
    <row r="61" ht="0" customHeight="1">
      <c r="A61" s="264" t="s">
        <v>173</v>
      </c>
      <c r="B61" s="264" t="s">
        <v>174</v>
      </c>
      <c r="C61" s="264" t="s">
        <v>175</v>
      </c>
      <c r="D61" s="264" t="s">
        <v>176</v>
      </c>
      <c r="E61" s="590"/>
      <c r="F61" s="590"/>
      <c r="G61" s="590"/>
      <c r="H61" s="589"/>
      <c r="I61" s="264"/>
      <c r="J61" s="264"/>
      <c r="K61" s="264"/>
      <c r="L61" s="264"/>
      <c r="M61" s="337"/>
      <c r="N61" s="86"/>
      <c r="O61" s="86"/>
      <c r="P61" s="50"/>
      <c r="Q61" s="143"/>
      <c r="R61" s="536"/>
      <c r="S61" s="497"/>
      <c r="T61" s="143"/>
      <c r="U61" s="606"/>
      <c r="V61" s="607"/>
      <c r="W61" s="608"/>
      <c r="X61" s="608"/>
      <c r="Y61" s="608"/>
      <c r="Z61" s="608"/>
      <c r="AA61" s="608"/>
      <c r="AB61" s="608"/>
      <c r="AC61" s="608"/>
      <c r="AD61" s="608"/>
      <c r="AE61" s="608"/>
      <c r="AF61" s="608"/>
      <c r="AG61" s="608"/>
      <c r="AH61" s="608"/>
      <c r="AI61" s="608"/>
      <c r="AJ61" s="608"/>
      <c r="AK61" s="608"/>
      <c r="AL61" s="608"/>
      <c r="AM61" s="608"/>
      <c r="AN61" s="608"/>
      <c r="AO61" s="608"/>
      <c r="AP61" s="608"/>
      <c r="AQ61" s="609"/>
      <c r="AS61" s="129"/>
      <c r="AT61" s="129" t="str">
        <f t="shared" si="19"/>
        <v/>
      </c>
      <c r="AU61" s="129"/>
      <c r="AV61" s="129"/>
      <c r="AW61" s="50">
        <v>0</v>
      </c>
    </row>
    <row r="62" s="57" customFormat="1" ht="0" customHeight="1">
      <c r="A62" s="591" t="s">
        <v>173</v>
      </c>
      <c r="B62" s="591" t="s">
        <v>174</v>
      </c>
      <c r="C62" s="591" t="s">
        <v>175</v>
      </c>
      <c r="D62" s="591"/>
      <c r="E62" s="590"/>
      <c r="F62" s="590"/>
      <c r="G62" s="589"/>
      <c r="H62" s="591"/>
      <c r="I62" s="591"/>
      <c r="J62" s="591"/>
      <c r="K62" s="591"/>
      <c r="L62" s="591"/>
      <c r="M62" s="592"/>
      <c r="N62" s="593"/>
      <c r="O62" s="593"/>
      <c r="P62" s="131"/>
      <c r="Q62" s="167"/>
      <c r="R62" s="538"/>
      <c r="S62" s="167"/>
      <c r="T62" s="167"/>
      <c r="U62" s="543"/>
      <c r="V62" s="546" t="s">
        <v>416</v>
      </c>
      <c r="W62" s="545"/>
      <c r="X62" s="545"/>
      <c r="Y62" s="545"/>
      <c r="Z62" s="545"/>
      <c r="AA62" s="545"/>
      <c r="AB62" s="545"/>
      <c r="AC62" s="545"/>
      <c r="AD62" s="545"/>
      <c r="AE62" s="545"/>
      <c r="AF62" s="545"/>
      <c r="AG62" s="545"/>
      <c r="AH62" s="545"/>
      <c r="AI62" s="545"/>
      <c r="AJ62" s="545"/>
      <c r="AK62" s="545"/>
      <c r="AL62" s="545"/>
      <c r="AM62" s="545"/>
      <c r="AN62" s="545"/>
      <c r="AO62" s="545"/>
      <c r="AP62" s="545"/>
      <c r="AQ62" s="545"/>
      <c r="AS62" s="129"/>
      <c r="AT62" s="129" t="str">
        <f t="shared" si="19"/>
        <v xml:space="preserve">Добавить источник для дифференциации</v>
      </c>
      <c r="AU62" s="129"/>
      <c r="AV62" s="129"/>
      <c r="AW62" s="57">
        <v>0</v>
      </c>
    </row>
    <row r="63" s="57" customFormat="1" ht="0" customHeight="1">
      <c r="A63" s="591" t="s">
        <v>173</v>
      </c>
      <c r="B63" s="591" t="s">
        <v>174</v>
      </c>
      <c r="C63" s="591"/>
      <c r="D63" s="591"/>
      <c r="E63" s="590"/>
      <c r="F63" s="589"/>
      <c r="G63" s="591"/>
      <c r="H63" s="591"/>
      <c r="I63" s="591"/>
      <c r="J63" s="591"/>
      <c r="K63" s="591"/>
      <c r="L63" s="591"/>
      <c r="M63" s="592"/>
      <c r="N63" s="594"/>
      <c r="O63" s="594"/>
      <c r="P63" s="131"/>
      <c r="Q63" s="167"/>
      <c r="R63" s="538"/>
      <c r="S63" s="167"/>
      <c r="T63" s="167"/>
      <c r="U63" s="543"/>
      <c r="V63" s="546" t="s">
        <v>238</v>
      </c>
      <c r="W63" s="545"/>
      <c r="X63" s="545"/>
      <c r="Y63" s="545"/>
      <c r="Z63" s="545"/>
      <c r="AA63" s="545"/>
      <c r="AB63" s="545"/>
      <c r="AC63" s="545"/>
      <c r="AD63" s="545"/>
      <c r="AE63" s="545"/>
      <c r="AF63" s="545"/>
      <c r="AG63" s="545"/>
      <c r="AH63" s="545"/>
      <c r="AI63" s="545"/>
      <c r="AJ63" s="545"/>
      <c r="AK63" s="545"/>
      <c r="AL63" s="545"/>
      <c r="AM63" s="545"/>
      <c r="AN63" s="545"/>
      <c r="AO63" s="545"/>
      <c r="AP63" s="545"/>
      <c r="AQ63" s="545"/>
      <c r="AS63" s="129"/>
      <c r="AT63" s="129" t="str">
        <f t="shared" si="19"/>
        <v xml:space="preserve">Добавить централизованную систему для дифференциации</v>
      </c>
      <c r="AU63" s="129"/>
      <c r="AV63" s="129"/>
      <c r="AW63" s="57">
        <v>0</v>
      </c>
    </row>
    <row r="64" s="57" customFormat="1" ht="0" customHeight="1">
      <c r="A64" s="591" t="s">
        <v>173</v>
      </c>
      <c r="B64" s="591"/>
      <c r="C64" s="591"/>
      <c r="D64" s="591"/>
      <c r="E64" s="589"/>
      <c r="F64" s="591"/>
      <c r="G64" s="591"/>
      <c r="H64" s="591"/>
      <c r="I64" s="591"/>
      <c r="J64" s="591"/>
      <c r="K64" s="591"/>
      <c r="L64" s="591"/>
      <c r="M64" s="592"/>
      <c r="N64" s="594"/>
      <c r="O64" s="594"/>
      <c r="P64" s="131"/>
      <c r="Q64" s="167"/>
      <c r="R64" s="538"/>
      <c r="S64" s="167"/>
      <c r="T64" s="167"/>
      <c r="U64" s="543"/>
      <c r="V64" s="546" t="s">
        <v>239</v>
      </c>
      <c r="W64" s="545"/>
      <c r="X64" s="545"/>
      <c r="Y64" s="545"/>
      <c r="Z64" s="545"/>
      <c r="AA64" s="545"/>
      <c r="AB64" s="545"/>
      <c r="AC64" s="545"/>
      <c r="AD64" s="545"/>
      <c r="AE64" s="545"/>
      <c r="AF64" s="545"/>
      <c r="AG64" s="545"/>
      <c r="AH64" s="545"/>
      <c r="AI64" s="545"/>
      <c r="AJ64" s="545"/>
      <c r="AK64" s="545"/>
      <c r="AL64" s="545"/>
      <c r="AM64" s="545"/>
      <c r="AN64" s="545"/>
      <c r="AO64" s="545"/>
      <c r="AP64" s="545"/>
      <c r="AQ64" s="545"/>
      <c r="AS64" s="129"/>
      <c r="AT64" s="129" t="str">
        <f t="shared" si="19"/>
        <v xml:space="preserve">Добавить территорию для дифференциации</v>
      </c>
      <c r="AU64" s="129"/>
      <c r="AV64" s="129"/>
      <c r="AW64" s="57">
        <v>0</v>
      </c>
    </row>
    <row r="65" s="57" customFormat="1" ht="4.2000000000000002" customHeight="1">
      <c r="A65" s="591"/>
      <c r="B65" s="591"/>
      <c r="C65" s="591"/>
      <c r="D65" s="591"/>
      <c r="E65" s="591"/>
      <c r="F65" s="591"/>
      <c r="G65" s="591"/>
      <c r="H65" s="591"/>
      <c r="I65" s="591"/>
      <c r="J65" s="591"/>
      <c r="K65" s="591"/>
      <c r="L65" s="591"/>
      <c r="M65" s="592"/>
      <c r="N65" s="594"/>
      <c r="O65" s="594"/>
      <c r="P65" s="131"/>
      <c r="Q65" s="167"/>
      <c r="R65" s="538"/>
      <c r="S65" s="167"/>
      <c r="T65" s="167"/>
      <c r="U65" s="543"/>
      <c r="V65" s="546" t="s">
        <v>240</v>
      </c>
      <c r="W65" s="545"/>
      <c r="X65" s="545"/>
      <c r="Y65" s="545"/>
      <c r="Z65" s="545"/>
      <c r="AA65" s="545"/>
      <c r="AB65" s="545"/>
      <c r="AC65" s="545"/>
      <c r="AD65" s="545"/>
      <c r="AE65" s="545"/>
      <c r="AF65" s="545"/>
      <c r="AG65" s="545"/>
      <c r="AH65" s="545"/>
      <c r="AI65" s="545"/>
      <c r="AJ65" s="545"/>
      <c r="AK65" s="545"/>
      <c r="AL65" s="545"/>
      <c r="AM65" s="545"/>
      <c r="AN65" s="545"/>
      <c r="AO65" s="545"/>
      <c r="AP65" s="545"/>
      <c r="AQ65" s="545"/>
      <c r="AS65" s="129"/>
      <c r="AT65" s="129" t="str">
        <f t="shared" si="19"/>
        <v xml:space="preserve">Добавить наименование тарифа</v>
      </c>
      <c r="AU65" s="129"/>
      <c r="AV65" s="129"/>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90"/>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W67" s="50">
        <v>34</v>
      </c>
    </row>
    <row r="68" ht="21" customHeight="1">
      <c r="P68" s="50"/>
      <c r="V68" s="588"/>
      <c r="W68" s="588"/>
      <c r="X68" s="588"/>
      <c r="Y68" s="588"/>
      <c r="Z68" s="588"/>
      <c r="AA68" s="588"/>
      <c r="AB68" s="588"/>
      <c r="AC68" s="588"/>
      <c r="AD68" s="588"/>
      <c r="AE68" s="588"/>
      <c r="AF68" s="588"/>
      <c r="AG68" s="588"/>
      <c r="AH68" s="588"/>
      <c r="AI68" s="588"/>
      <c r="AJ68" s="588"/>
      <c r="AK68" s="588"/>
      <c r="AL68" s="588"/>
      <c r="AM68" s="588"/>
      <c r="AN68" s="588"/>
      <c r="AO68" s="588"/>
      <c r="AP68" s="588"/>
      <c r="AQ68" s="588"/>
      <c r="AW68" s="50">
        <v>20</v>
      </c>
    </row>
    <row r="69" ht="14.65" customHeight="1">
      <c r="P69" s="50"/>
      <c r="AW69" s="50">
        <v>14</v>
      </c>
    </row>
    <row r="70" ht="28.5" customHeight="1">
      <c r="P70" s="50"/>
      <c r="V70" s="588"/>
      <c r="W70" s="588"/>
      <c r="X70" s="588"/>
      <c r="Y70" s="588"/>
      <c r="Z70" s="588"/>
      <c r="AA70" s="588"/>
      <c r="AB70" s="588"/>
      <c r="AC70" s="588"/>
      <c r="AD70" s="588"/>
      <c r="AE70" s="588"/>
      <c r="AF70" s="588"/>
      <c r="AG70" s="588"/>
      <c r="AH70" s="588"/>
      <c r="AI70" s="588"/>
      <c r="AJ70" s="588"/>
      <c r="AK70" s="588"/>
      <c r="AL70" s="588"/>
      <c r="AM70" s="588"/>
      <c r="AN70" s="588"/>
      <c r="AO70" s="588"/>
      <c r="AP70" s="588"/>
      <c r="AQ70" s="588"/>
      <c r="AW70" s="50">
        <v>27</v>
      </c>
    </row>
    <row r="71" ht="18.75" customHeight="1">
      <c r="P71" s="50"/>
      <c r="V71" s="588"/>
      <c r="W71" s="588"/>
      <c r="X71" s="588"/>
      <c r="Y71" s="588"/>
      <c r="Z71" s="588"/>
      <c r="AA71" s="588"/>
      <c r="AB71" s="588"/>
      <c r="AC71" s="588"/>
      <c r="AD71" s="588"/>
      <c r="AE71" s="588"/>
      <c r="AF71" s="588"/>
      <c r="AG71" s="588"/>
      <c r="AH71" s="588"/>
      <c r="AI71" s="588"/>
      <c r="AJ71" s="588"/>
      <c r="AK71" s="588"/>
      <c r="AL71" s="588"/>
      <c r="AM71" s="588"/>
      <c r="AN71" s="588"/>
      <c r="AO71" s="588"/>
      <c r="AP71" s="588"/>
      <c r="AQ71" s="588"/>
      <c r="AW71" s="50">
        <v>18</v>
      </c>
    </row>
    <row r="72" ht="22.5" hidden="1" customHeight="1">
      <c r="A72" s="50" t="s">
        <v>82</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92">
        <v>3</v>
      </c>
      <c r="S72" s="492">
        <v>3</v>
      </c>
      <c r="T72" s="492">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0" deleteRows="0" formatCells="1" formatColumns="0" formatRows="0" insertColumns="1" insertHyperlinks="1" insertRows="0" pivotTables="1" selectLockedCells="0" selectUnlockedCells="0" sheet="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isablePrompts="0">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70018-0038-468B-B759-0072001C007E}"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 xr:uid="{00ED003D-0063-4B3D-B8BA-007A007500BD}"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DF00A2-007E-41BD-A189-003A00D500E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850093-00AC-4B06-AB23-00B7008C00C4}"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1" zoomScale="90" workbookViewId="0">
      <selection activeCell="I7" activeCellId="0" sqref="I7"/>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PP108.OPEN.INFO.REQUEST.COLDVSNA.EIAS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45292.531030092592</v>
      </c>
      <c r="G11" s="83"/>
      <c r="H11" s="90" t="s">
        <v>22</v>
      </c>
      <c r="J11" s="53" t="s">
        <v>23</v>
      </c>
      <c r="Q11" s="50">
        <v>0</v>
      </c>
    </row>
    <row r="12" ht="22.5" customHeight="1">
      <c r="A12" s="88"/>
      <c r="D12" s="71"/>
      <c r="E12" s="78" t="s">
        <v>24</v>
      </c>
      <c r="F12" s="89">
        <v>47118.531168981484</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customHeight="1">
      <c r="D18" s="71"/>
      <c r="E18" s="93" t="s">
        <v>38</v>
      </c>
      <c r="F18" s="89">
        <v>45426</v>
      </c>
      <c r="G18" s="91"/>
      <c r="I18" s="96"/>
      <c r="J18" s="97" t="s">
        <v>39</v>
      </c>
      <c r="Q18" s="50">
        <v>0</v>
      </c>
    </row>
    <row r="19" ht="25.5"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89">
        <v>45658</v>
      </c>
      <c r="G19" s="91"/>
      <c r="I19" s="96"/>
      <c r="J19" s="97"/>
      <c r="Q19" s="50">
        <v>0</v>
      </c>
    </row>
    <row r="20" ht="22.5" customHeight="1">
      <c r="D20" s="71"/>
      <c r="E20" s="98"/>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v>45042</v>
      </c>
      <c r="G21" s="91"/>
      <c r="I21" s="99"/>
      <c r="Q21" s="50">
        <v>0</v>
      </c>
    </row>
    <row r="22" ht="19.5"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t="s">
        <v>41</v>
      </c>
      <c r="G22" s="91"/>
      <c r="I22" s="99"/>
      <c r="Q22" s="50">
        <v>0</v>
      </c>
    </row>
    <row r="23" ht="22.5" hidden="1" customHeight="1">
      <c r="D23" s="71"/>
      <c r="E23" s="78" t="s">
        <v>42</v>
      </c>
      <c r="F23" s="95"/>
      <c r="G23" s="91"/>
      <c r="Q23" s="50">
        <v>0</v>
      </c>
    </row>
    <row r="24" ht="19.5" hidden="1" customHeight="1">
      <c r="D24" s="71"/>
      <c r="E24" s="78" t="s">
        <v>43</v>
      </c>
      <c r="F24" s="95"/>
      <c r="G24" s="91"/>
      <c r="Q24" s="50">
        <v>0</v>
      </c>
    </row>
    <row r="25" ht="22.5" customHeight="1">
      <c r="D25" s="71"/>
      <c r="E25" s="98"/>
      <c r="F25" s="51" t="str">
        <f>"Изменение "&amp;IF(TEMPLATE_GROUP="P","тарифов","предложения по тарифам")</f>
        <v xml:space="preserve">Изменение предложения по тарифам</v>
      </c>
      <c r="G25" s="91"/>
      <c r="J25" s="75" t="s">
        <v>44</v>
      </c>
      <c r="Q25" s="50">
        <v>0</v>
      </c>
    </row>
    <row r="26" ht="19.5"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89">
        <v>45406</v>
      </c>
      <c r="G26" s="91"/>
      <c r="Q26" s="50">
        <v>0</v>
      </c>
    </row>
    <row r="27" ht="19.5" customHeight="1">
      <c r="D27" s="71"/>
      <c r="E27" s="78" t="str">
        <f>"Номер "&amp;IF(TEMPLATE_GROUP="P","принятия решения","заявления")&amp;" об изменении тарифов"</f>
        <v xml:space="preserve">Номер заявления об изменении тарифов</v>
      </c>
      <c r="F27" s="95" t="s">
        <v>45</v>
      </c>
      <c r="G27" s="91"/>
      <c r="Q27" s="50">
        <v>0</v>
      </c>
    </row>
    <row r="28" ht="24.75" hidden="1" customHeight="1">
      <c r="D28" s="71"/>
      <c r="E28" s="78" t="s">
        <v>46</v>
      </c>
      <c r="F28" s="100"/>
      <c r="G28" s="91"/>
      <c r="Q28" s="50">
        <v>0</v>
      </c>
    </row>
    <row r="29" ht="19.5" hidden="1" customHeight="1">
      <c r="D29" s="71"/>
      <c r="E29" s="78" t="s">
        <v>43</v>
      </c>
      <c r="F29" s="100"/>
      <c r="G29" s="91"/>
      <c r="Q29" s="50">
        <v>0</v>
      </c>
    </row>
    <row r="30" s="65" customFormat="1" ht="6.2999999999999998" customHeight="1">
      <c r="A30" s="80"/>
      <c r="B30" s="66"/>
      <c r="C30" s="67"/>
      <c r="D30" s="81"/>
      <c r="E30" s="76"/>
      <c r="F30" s="82"/>
      <c r="G30" s="83"/>
      <c r="H30" s="50"/>
      <c r="I30" s="52"/>
      <c r="J30" s="70"/>
      <c r="Q30" s="65">
        <v>6</v>
      </c>
    </row>
    <row r="31" ht="21" customHeight="1">
      <c r="C31" s="101"/>
      <c r="D31" s="102"/>
      <c r="E31" s="78" t="str">
        <f>"Наименование "&amp;IF(TEMPLATE_GROUP="ROIV","органа тарифного регулирования","ЮЛ / ИП")</f>
        <v xml:space="preserve">Наименование ЮЛ / ИП</v>
      </c>
      <c r="F31" s="103" t="s">
        <v>47</v>
      </c>
      <c r="G31" s="104"/>
      <c r="Q31" s="50">
        <v>20</v>
      </c>
    </row>
    <row r="32" ht="21" hidden="1" customHeight="1">
      <c r="C32" s="101"/>
      <c r="D32" s="102"/>
      <c r="E32" s="105" t="s">
        <v>48</v>
      </c>
      <c r="F32" s="103"/>
      <c r="G32" s="104"/>
      <c r="Q32" s="50">
        <v>20</v>
      </c>
    </row>
    <row r="33" ht="21" customHeight="1">
      <c r="C33" s="101"/>
      <c r="D33" s="102"/>
      <c r="E33" s="78" t="s">
        <v>49</v>
      </c>
      <c r="F33" s="103" t="s">
        <v>50</v>
      </c>
      <c r="G33" s="104"/>
      <c r="Q33" s="50">
        <v>20</v>
      </c>
    </row>
    <row r="34" ht="21" customHeight="1">
      <c r="C34" s="101"/>
      <c r="D34" s="102"/>
      <c r="E34" s="78" t="s">
        <v>51</v>
      </c>
      <c r="F34" s="103" t="s">
        <v>52</v>
      </c>
      <c r="G34" s="104"/>
      <c r="H34" s="106"/>
      <c r="Q34" s="50">
        <v>20</v>
      </c>
    </row>
    <row r="35" s="65" customFormat="1" ht="11.5" customHeight="1">
      <c r="A35" s="80"/>
      <c r="B35" s="66"/>
      <c r="C35" s="67"/>
      <c r="D35" s="81"/>
      <c r="E35" s="76"/>
      <c r="F35" s="82"/>
      <c r="G35" s="83"/>
      <c r="H35" s="50"/>
      <c r="I35" s="52"/>
      <c r="J35" s="70"/>
      <c r="Q35" s="65">
        <v>11</v>
      </c>
    </row>
    <row r="36" ht="19.5" hidden="1" customHeight="1">
      <c r="A36" s="107"/>
      <c r="D36" s="102"/>
      <c r="E36" s="78" t="s">
        <v>53</v>
      </c>
      <c r="F36" s="108"/>
      <c r="G36" s="83"/>
      <c r="Q36" s="50">
        <v>0</v>
      </c>
    </row>
    <row r="37" ht="21" customHeight="1">
      <c r="A37" s="107"/>
      <c r="D37" s="102"/>
      <c r="E37" s="78" t="s">
        <v>54</v>
      </c>
      <c r="F37" s="108" t="s">
        <v>55</v>
      </c>
      <c r="G37" s="83"/>
      <c r="Q37" s="50">
        <v>20</v>
      </c>
    </row>
    <row r="38" s="65" customFormat="1" ht="6.2999999999999998" customHeight="1">
      <c r="A38" s="80"/>
      <c r="B38" s="66"/>
      <c r="C38" s="67"/>
      <c r="D38" s="68"/>
      <c r="E38" s="109"/>
      <c r="F38" s="110"/>
      <c r="G38" s="91"/>
      <c r="H38" s="50"/>
      <c r="I38" s="52"/>
      <c r="J38" s="53"/>
      <c r="Q38" s="65">
        <v>6</v>
      </c>
    </row>
    <row r="39" ht="36.75" customHeight="1">
      <c r="A39" s="80"/>
      <c r="D39" s="71"/>
      <c r="E39" s="78" t="s">
        <v>56</v>
      </c>
      <c r="F39" s="87" t="s">
        <v>19</v>
      </c>
      <c r="G39" s="91"/>
      <c r="H39" s="90" t="s">
        <v>22</v>
      </c>
      <c r="Q39" s="50">
        <v>35</v>
      </c>
    </row>
    <row r="40" s="65" customFormat="1" ht="6" hidden="1" customHeight="1">
      <c r="A40" s="47"/>
      <c r="B40" s="66"/>
      <c r="C40" s="67"/>
      <c r="D40" s="68"/>
      <c r="E40" s="109"/>
      <c r="F40" s="110"/>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холодного водоснабжения</v>
      </c>
      <c r="F41" s="87" t="s">
        <v>19</v>
      </c>
      <c r="G41" s="91"/>
      <c r="I41" s="52"/>
      <c r="J41" s="53"/>
      <c r="Q41" s="50">
        <v>0</v>
      </c>
    </row>
    <row r="42" s="65" customFormat="1" ht="6" hidden="1" customHeight="1">
      <c r="A42" s="47"/>
      <c r="B42" s="66"/>
      <c r="C42" s="67"/>
      <c r="D42" s="68"/>
      <c r="E42" s="109"/>
      <c r="F42" s="110"/>
      <c r="G42" s="91"/>
      <c r="H42" s="50"/>
      <c r="I42" s="52"/>
      <c r="J42" s="70"/>
      <c r="Q42" s="65">
        <v>0</v>
      </c>
    </row>
    <row r="43" s="50" customFormat="1" ht="27" hidden="1" customHeight="1">
      <c r="A43" s="47"/>
      <c r="B43" s="48"/>
      <c r="C43" s="49"/>
      <c r="D43" s="71"/>
      <c r="E43" s="78" t="s">
        <v>57</v>
      </c>
      <c r="F43" s="87" t="s">
        <v>19</v>
      </c>
      <c r="G43" s="91"/>
      <c r="I43" s="52"/>
      <c r="J43" s="53"/>
      <c r="Q43" s="50">
        <v>0</v>
      </c>
    </row>
    <row r="44" s="50" customFormat="1" ht="27" hidden="1" customHeight="1">
      <c r="A44" s="47"/>
      <c r="B44" s="48"/>
      <c r="C44" s="49"/>
      <c r="D44" s="71"/>
      <c r="E44" s="78" t="s">
        <v>58</v>
      </c>
      <c r="F44" s="111"/>
      <c r="G44" s="91"/>
      <c r="I44" s="52"/>
      <c r="J44" s="53"/>
      <c r="Q44" s="50">
        <v>0</v>
      </c>
    </row>
    <row r="45" s="65" customFormat="1" ht="6" hidden="1" customHeight="1">
      <c r="A45" s="47"/>
      <c r="B45" s="66"/>
      <c r="C45" s="67"/>
      <c r="D45" s="68"/>
      <c r="E45" s="109"/>
      <c r="F45" s="110"/>
      <c r="G45" s="91"/>
      <c r="H45" s="50"/>
      <c r="I45" s="52"/>
      <c r="J45" s="53"/>
      <c r="Q45" s="65">
        <v>0</v>
      </c>
    </row>
    <row r="46" s="65" customFormat="1" ht="24.75" hidden="1" customHeight="1">
      <c r="A46" s="47"/>
      <c r="B46" s="66"/>
      <c r="C46" s="67"/>
      <c r="D46" s="68"/>
      <c r="E46" s="78" t="s">
        <v>59</v>
      </c>
      <c r="F46" s="87" t="s">
        <v>19</v>
      </c>
      <c r="G46" s="91"/>
      <c r="H46" s="50"/>
      <c r="I46" s="52"/>
      <c r="J46" s="53"/>
      <c r="Q46" s="65">
        <v>0</v>
      </c>
    </row>
    <row r="47" s="50" customFormat="1" ht="24.75" hidden="1" customHeight="1">
      <c r="A47" s="47"/>
      <c r="B47" s="48"/>
      <c r="C47" s="49"/>
      <c r="D47" s="71"/>
      <c r="E47" s="78" t="s">
        <v>60</v>
      </c>
      <c r="F47" s="87" t="s">
        <v>19</v>
      </c>
      <c r="G47" s="91"/>
      <c r="I47" s="52"/>
      <c r="J47" s="53"/>
      <c r="Q47" s="50">
        <v>0</v>
      </c>
    </row>
    <row r="48" s="65" customFormat="1" ht="6" hidden="1" customHeight="1">
      <c r="A48" s="47"/>
      <c r="B48" s="66"/>
      <c r="C48" s="67"/>
      <c r="D48" s="68"/>
      <c r="E48" s="109"/>
      <c r="F48" s="110"/>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холодного водоснабжения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2"/>
      <c r="B51" s="48"/>
      <c r="C51" s="49"/>
      <c r="D51" s="52"/>
      <c r="E51" s="78" t="s">
        <v>61</v>
      </c>
      <c r="F51" s="87" t="s">
        <v>19</v>
      </c>
      <c r="G51" s="51"/>
      <c r="I51" s="113"/>
      <c r="J51" s="53"/>
      <c r="P51" s="114"/>
      <c r="Q51" s="50">
        <v>0</v>
      </c>
    </row>
    <row r="52" s="65" customFormat="1" ht="6" hidden="1" customHeight="1">
      <c r="A52" s="80"/>
      <c r="B52" s="66"/>
      <c r="C52" s="67"/>
      <c r="D52" s="81"/>
      <c r="E52" s="76"/>
      <c r="F52" s="82"/>
      <c r="G52" s="83"/>
      <c r="H52" s="50"/>
      <c r="I52" s="52"/>
      <c r="J52" s="70"/>
      <c r="Q52" s="65">
        <v>0</v>
      </c>
    </row>
    <row r="53" s="50" customFormat="1" ht="27" hidden="1" customHeight="1">
      <c r="A53" s="112"/>
      <c r="B53" s="48"/>
      <c r="C53" s="49"/>
      <c r="D53" s="52"/>
      <c r="E53" s="78" t="s">
        <v>62</v>
      </c>
      <c r="F53" s="115" t="s">
        <v>19</v>
      </c>
      <c r="G53" s="51"/>
      <c r="I53" s="113"/>
      <c r="J53" s="53"/>
      <c r="P53" s="114"/>
      <c r="Q53" s="50">
        <v>0</v>
      </c>
    </row>
    <row r="54" s="50" customFormat="1" ht="27" hidden="1" customHeight="1">
      <c r="A54" s="112"/>
      <c r="B54" s="48"/>
      <c r="C54" s="49"/>
      <c r="D54" s="52"/>
      <c r="E54" s="78" t="s">
        <v>63</v>
      </c>
      <c r="F54" s="116"/>
      <c r="G54" s="51"/>
      <c r="I54" s="113"/>
      <c r="J54" s="53"/>
      <c r="P54" s="114"/>
      <c r="Q54" s="50">
        <v>0</v>
      </c>
    </row>
    <row r="55" s="65" customFormat="1" ht="6" hidden="1" customHeight="1">
      <c r="A55" s="80"/>
      <c r="B55" s="66"/>
      <c r="C55" s="67"/>
      <c r="D55" s="81"/>
      <c r="E55" s="76"/>
      <c r="F55" s="82"/>
      <c r="G55" s="83"/>
      <c r="H55" s="50"/>
      <c r="I55" s="52"/>
      <c r="J55" s="70"/>
      <c r="Q55" s="65">
        <v>0</v>
      </c>
    </row>
    <row r="56" s="50" customFormat="1" ht="25.5" hidden="1" customHeight="1">
      <c r="A56" s="112"/>
      <c r="B56" s="48"/>
      <c r="C56" s="49"/>
      <c r="D56" s="52"/>
      <c r="E56" s="78" t="s">
        <v>64</v>
      </c>
      <c r="F56" s="115" t="s">
        <v>19</v>
      </c>
      <c r="G56" s="51"/>
      <c r="I56" s="113"/>
      <c r="J56" s="53"/>
      <c r="P56" s="114"/>
      <c r="Q56" s="50">
        <v>0</v>
      </c>
    </row>
    <row r="57" s="65" customFormat="1" ht="6" hidden="1" customHeight="1">
      <c r="A57" s="80"/>
      <c r="B57" s="66"/>
      <c r="C57" s="67"/>
      <c r="D57" s="81"/>
      <c r="E57" s="76"/>
      <c r="F57" s="82"/>
      <c r="G57" s="83"/>
      <c r="H57" s="50"/>
      <c r="I57" s="52"/>
      <c r="J57" s="70"/>
      <c r="Q57" s="65">
        <v>0</v>
      </c>
    </row>
    <row r="58" s="50" customFormat="1" ht="15" hidden="1" customHeight="1">
      <c r="A58" s="112"/>
      <c r="B58" s="48"/>
      <c r="C58" s="49"/>
      <c r="D58" s="52"/>
      <c r="E58" s="78" t="s">
        <v>65</v>
      </c>
      <c r="F58" s="115" t="s">
        <v>66</v>
      </c>
      <c r="G58" s="51"/>
      <c r="I58" s="113"/>
      <c r="J58" s="53"/>
      <c r="P58" s="114"/>
      <c r="Q58" s="50">
        <v>0</v>
      </c>
    </row>
    <row r="59" s="50" customFormat="1" ht="75" hidden="1" customHeight="1">
      <c r="A59" s="112"/>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5"/>
      <c r="G59" s="51"/>
      <c r="I59" s="113"/>
      <c r="J59" s="53"/>
      <c r="P59" s="114"/>
      <c r="Q59" s="50">
        <v>0</v>
      </c>
    </row>
    <row r="60" s="50" customFormat="1" ht="15" hidden="1" customHeight="1">
      <c r="A60" s="112"/>
      <c r="B60" s="48"/>
      <c r="C60" s="49"/>
      <c r="D60" s="52"/>
      <c r="E60" s="78" t="s">
        <v>67</v>
      </c>
      <c r="F60" s="108"/>
      <c r="G60" s="51"/>
      <c r="I60" s="113"/>
      <c r="J60" s="53"/>
      <c r="P60" s="114"/>
      <c r="Q60" s="50">
        <v>0</v>
      </c>
    </row>
    <row r="61" s="65" customFormat="1" ht="6" hidden="1" customHeight="1">
      <c r="A61" s="80"/>
      <c r="B61" s="66"/>
      <c r="C61" s="67"/>
      <c r="D61" s="68"/>
      <c r="E61" s="109"/>
      <c r="F61" s="110"/>
      <c r="G61" s="91"/>
      <c r="H61" s="50"/>
      <c r="I61" s="52"/>
      <c r="J61" s="53"/>
      <c r="Q61" s="65">
        <v>0</v>
      </c>
    </row>
    <row r="62" s="50" customFormat="1" ht="33.75" hidden="1" customHeight="1">
      <c r="A62" s="80"/>
      <c r="B62" s="48"/>
      <c r="C62" s="49"/>
      <c r="D62" s="71"/>
      <c r="E62" s="78" t="s">
        <v>68</v>
      </c>
      <c r="F62" s="87" t="s">
        <v>66</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7"/>
      <c r="D64" s="118"/>
      <c r="E64" s="78" t="s">
        <v>69</v>
      </c>
      <c r="F64" s="95" t="s">
        <v>70</v>
      </c>
      <c r="G64" s="83"/>
      <c r="Q64" s="50">
        <v>20</v>
      </c>
    </row>
    <row r="65" ht="21" customHeight="1">
      <c r="A65" s="47"/>
      <c r="B65" s="117"/>
      <c r="D65" s="118"/>
      <c r="E65" s="78" t="s">
        <v>71</v>
      </c>
      <c r="F65" s="95" t="s">
        <v>72</v>
      </c>
      <c r="G65" s="83"/>
      <c r="Q65" s="50">
        <v>20</v>
      </c>
    </row>
    <row r="66" ht="36.75" customHeight="1">
      <c r="D66" s="71"/>
      <c r="E66" s="119" t="s">
        <v>73</v>
      </c>
      <c r="F66" s="120"/>
      <c r="G66" s="91"/>
      <c r="Q66" s="50">
        <v>35</v>
      </c>
    </row>
    <row r="67" ht="21" customHeight="1">
      <c r="A67" s="47"/>
      <c r="D67" s="71"/>
      <c r="E67" s="78" t="s">
        <v>74</v>
      </c>
      <c r="F67" s="95" t="s">
        <v>75</v>
      </c>
      <c r="G67" s="83"/>
      <c r="Q67" s="50">
        <v>20</v>
      </c>
    </row>
    <row r="68" ht="21" customHeight="1">
      <c r="A68" s="47"/>
      <c r="B68" s="117"/>
      <c r="D68" s="118"/>
      <c r="E68" s="78" t="s">
        <v>76</v>
      </c>
      <c r="F68" s="95" t="s">
        <v>77</v>
      </c>
      <c r="G68" s="83"/>
      <c r="Q68" s="50">
        <v>20</v>
      </c>
    </row>
    <row r="69" ht="21" customHeight="1">
      <c r="A69" s="47"/>
      <c r="B69" s="117"/>
      <c r="D69" s="118"/>
      <c r="E69" s="78" t="s">
        <v>78</v>
      </c>
      <c r="F69" s="95" t="s">
        <v>79</v>
      </c>
      <c r="G69" s="83"/>
      <c r="Q69" s="50">
        <v>20</v>
      </c>
    </row>
    <row r="70" ht="21" customHeight="1">
      <c r="D70" s="71"/>
      <c r="E70" s="78" t="s">
        <v>80</v>
      </c>
      <c r="F70" s="121" t="s">
        <v>81</v>
      </c>
      <c r="G70" s="91"/>
      <c r="Q70" s="50">
        <v>20</v>
      </c>
    </row>
    <row r="71" ht="21" customHeight="1">
      <c r="A71" s="47"/>
      <c r="D71" s="91"/>
      <c r="F71" s="122"/>
      <c r="G71" s="83"/>
      <c r="Q71" s="50">
        <v>20</v>
      </c>
    </row>
    <row r="72" ht="21" customHeight="1">
      <c r="A72" s="47"/>
      <c r="B72" s="117"/>
      <c r="D72" s="118"/>
      <c r="E72" s="123"/>
      <c r="F72" s="124" t="s">
        <v>13</v>
      </c>
      <c r="G72" s="83"/>
      <c r="Q72" s="50">
        <v>20</v>
      </c>
    </row>
    <row r="73" ht="21" customHeight="1">
      <c r="A73" s="47"/>
      <c r="B73" s="117"/>
      <c r="D73" s="118"/>
      <c r="E73" s="123"/>
      <c r="F73" s="125"/>
      <c r="G73" s="83"/>
      <c r="Q73" s="50">
        <v>20</v>
      </c>
    </row>
    <row r="74" ht="21" customHeight="1">
      <c r="A74" s="47"/>
      <c r="B74" s="117"/>
      <c r="D74" s="118"/>
      <c r="E74" s="126"/>
      <c r="F74" s="125"/>
      <c r="G74" s="83"/>
      <c r="Q74" s="50">
        <v>20</v>
      </c>
    </row>
    <row r="75" ht="21" customHeight="1">
      <c r="A75" s="47"/>
      <c r="B75" s="117"/>
      <c r="D75" s="118"/>
      <c r="E75" s="123"/>
      <c r="F75" s="125"/>
      <c r="G75" s="83"/>
      <c r="Q75" s="50">
        <v>20</v>
      </c>
    </row>
    <row r="76" ht="11.5" customHeight="1">
      <c r="Q76" s="50">
        <v>11</v>
      </c>
    </row>
    <row r="77" ht="11.5" customHeight="1">
      <c r="Q77" s="50">
        <v>11</v>
      </c>
    </row>
    <row r="78" ht="11.5" customHeight="1">
      <c r="E78" s="127"/>
      <c r="F78" s="127"/>
      <c r="G78" s="127"/>
      <c r="H78" s="127"/>
      <c r="I78" s="127"/>
      <c r="Q78" s="50">
        <v>11</v>
      </c>
    </row>
    <row r="79" ht="11.25" hidden="1" customHeight="1">
      <c r="A79" s="47" t="s">
        <v>82</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0" deleteRows="0" formatCells="1" formatColumns="0" formatRows="0" insertColumns="1" insertHyperlinks="1" insertRows="0" pivotTables="1" selectLockedCells="0" selectUnlockedCells="0" sheet="0" sort="0"/>
  <mergeCells count="3">
    <mergeCell ref="E5:F5"/>
    <mergeCell ref="J18:J19"/>
    <mergeCell ref="A11:A12"/>
  </mergeCells>
  <dataValidations count="4" disablePrompts="0">
    <dataValidation sqref="F31" type="none" allowBlank="1" errorStyle="stop" imeMode="noControl" operator="between" prompt="Выбор организации двойным щелчком левой клавиши мыши"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 r:id="rId1" ref="F70"/>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4"/>
  <extLst>
    <ext xmlns:x14="http://schemas.microsoft.com/office/spreadsheetml/2009/9/main" uri="{CCE6A557-97BC-4b89-ADB6-D9C93CAAB3DF}">
      <x14:dataValidations xmlns:xm="http://schemas.microsoft.com/office/excel/2006/main" count="9" disablePrompts="0">
        <x14:dataValidation xr:uid="{001000FD-000C-45F1-84FB-009600A50098}"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 xr:uid="{005E0080-0073-4A88-999E-00FB00EF00F1}"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90001E-00E1-46A3-9025-00FE00560097}"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FA006D-006C-4E62-98C0-000F00B00073}"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020013-00B1-4B10-9B81-00B400040011}"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1A0087-00E4-4582-A0B2-0063000F00A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DA006E-002C-4766-B80E-000E0085003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FB0039-0068-46EA-9F88-00FB007D00DC}"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3F007F-0012-4E9F-9EA9-00FE00ED006C}"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1" width="3.00390625"/>
    <col customWidth="1" min="17" max="17" style="552" width="3.00390625"/>
    <col customWidth="1" min="18" max="18" style="492"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93"/>
      <c r="B2" s="493"/>
      <c r="C2" s="493"/>
      <c r="D2" s="493"/>
      <c r="E2" s="494">
        <v>1</v>
      </c>
      <c r="F2" s="493"/>
      <c r="G2" s="493"/>
      <c r="H2" s="493"/>
      <c r="I2" s="493"/>
      <c r="J2" s="493"/>
      <c r="K2" s="493"/>
      <c r="L2" s="495"/>
      <c r="M2" s="496"/>
      <c r="N2" s="496"/>
      <c r="O2" s="496"/>
      <c r="P2" s="61"/>
      <c r="Q2" s="64"/>
      <c r="R2" s="497"/>
      <c r="S2" s="498" t="e">
        <f>INDEX(PT_DIFFERENTIATION_NUM_NTAR,MATCH(A2,PT_DIFFERENTIATION_NTAR_ID,0))</f>
        <v>#VALUE!</v>
      </c>
      <c r="T2" s="499" t="s">
        <v>123</v>
      </c>
      <c r="U2" s="500"/>
      <c r="V2" s="502"/>
      <c r="W2" s="502"/>
      <c r="X2" s="502"/>
      <c r="Y2" s="502"/>
      <c r="Z2" s="502"/>
      <c r="AA2" s="503"/>
      <c r="AB2" s="501" t="e">
        <f>INDEX(PT_DIFFERENTIATION_NTAR,MATCH(A2,PT_DIFFERENTIATION_NTAR_ID,0))</f>
        <v>#VALUE!</v>
      </c>
      <c r="AC2" s="502"/>
      <c r="AD2" s="502"/>
      <c r="AE2" s="502"/>
      <c r="AF2" s="502"/>
      <c r="AG2" s="502"/>
      <c r="AH2" s="502"/>
      <c r="AI2" s="502"/>
      <c r="AJ2" s="502"/>
      <c r="AK2" s="502"/>
      <c r="AL2" s="502"/>
      <c r="AM2" s="502"/>
      <c r="AN2" s="502"/>
      <c r="AO2" s="502"/>
      <c r="AP2" s="502"/>
      <c r="AQ2" s="502"/>
      <c r="AR2" s="502"/>
      <c r="AS2" s="502"/>
      <c r="AT2" s="503"/>
      <c r="AU2" s="504" t="s">
        <v>398</v>
      </c>
      <c r="AW2" s="129"/>
      <c r="AX2" s="129" t="str">
        <f t="shared" ref="AX2:AX8" si="21">IF(T2="","",T2)</f>
        <v xml:space="preserve">Наименование тарифа</v>
      </c>
      <c r="AY2" s="129"/>
      <c r="AZ2" s="129"/>
      <c r="BA2" s="50">
        <v>0</v>
      </c>
    </row>
    <row r="3" ht="21" hidden="1" customHeight="1">
      <c r="A3" s="493"/>
      <c r="B3" s="493"/>
      <c r="C3" s="493"/>
      <c r="D3" s="493"/>
      <c r="E3" s="505"/>
      <c r="F3" s="494">
        <v>1</v>
      </c>
      <c r="G3" s="493"/>
      <c r="H3" s="493"/>
      <c r="I3" s="493"/>
      <c r="J3" s="493"/>
      <c r="K3" s="493"/>
      <c r="L3" s="495"/>
      <c r="M3" s="496"/>
      <c r="N3" s="496"/>
      <c r="O3" s="496"/>
      <c r="P3" s="113"/>
      <c r="Q3" s="643"/>
      <c r="R3" s="507"/>
      <c r="S3" s="498" t="e">
        <f>INDEX(PT_DIFFERENTIATION_NUM_TER,MATCH(B3,PT_DIFFERENTIATION_TER_ID,0))</f>
        <v>#VALUE!</v>
      </c>
      <c r="T3" s="508" t="s">
        <v>399</v>
      </c>
      <c r="U3" s="500"/>
      <c r="V3" s="502"/>
      <c r="W3" s="502"/>
      <c r="X3" s="502"/>
      <c r="Y3" s="502"/>
      <c r="Z3" s="502"/>
      <c r="AA3" s="503"/>
      <c r="AB3" s="501" t="e">
        <f>INDEX(PT_DIFFERENTIATION_TER,MATCH(B3,PT_DIFFERENTIATION_TER_ID,0))</f>
        <v>#VALUE!</v>
      </c>
      <c r="AC3" s="502"/>
      <c r="AD3" s="502"/>
      <c r="AE3" s="502"/>
      <c r="AF3" s="502"/>
      <c r="AG3" s="502"/>
      <c r="AH3" s="502"/>
      <c r="AI3" s="502"/>
      <c r="AJ3" s="502"/>
      <c r="AK3" s="502"/>
      <c r="AL3" s="502"/>
      <c r="AM3" s="502"/>
      <c r="AN3" s="502"/>
      <c r="AO3" s="502"/>
      <c r="AP3" s="502"/>
      <c r="AQ3" s="502"/>
      <c r="AR3" s="502"/>
      <c r="AS3" s="502"/>
      <c r="AT3" s="503"/>
      <c r="AU3" s="504" t="s">
        <v>400</v>
      </c>
      <c r="AW3" s="129"/>
      <c r="AX3" s="129" t="str">
        <f t="shared" si="21"/>
        <v xml:space="preserve">Территория действия тарифа</v>
      </c>
      <c r="AY3" s="129"/>
      <c r="AZ3" s="129"/>
      <c r="BA3" s="50">
        <v>0</v>
      </c>
    </row>
    <row r="4" ht="22.5" hidden="1" customHeight="1">
      <c r="A4" s="493"/>
      <c r="B4" s="493"/>
      <c r="C4" s="493"/>
      <c r="D4" s="493"/>
      <c r="E4" s="505"/>
      <c r="F4" s="505"/>
      <c r="G4" s="494">
        <v>1</v>
      </c>
      <c r="H4" s="493"/>
      <c r="I4" s="493"/>
      <c r="J4" s="493"/>
      <c r="K4" s="493"/>
      <c r="L4" s="495"/>
      <c r="M4" s="496"/>
      <c r="N4" s="496"/>
      <c r="O4" s="496"/>
      <c r="P4" s="135"/>
      <c r="Q4" s="643"/>
      <c r="R4" s="507"/>
      <c r="S4" s="498" t="e">
        <f>INDEX(PT_DIFFERENTIATION_NUM_CS,MATCH(C4,PT_DIFFERENTIATION_CS_ID,0))</f>
        <v>#VALUE!</v>
      </c>
      <c r="T4" s="510" t="s">
        <v>401</v>
      </c>
      <c r="U4" s="500"/>
      <c r="V4" s="502"/>
      <c r="W4" s="502"/>
      <c r="X4" s="502"/>
      <c r="Y4" s="502"/>
      <c r="Z4" s="502"/>
      <c r="AA4" s="503"/>
      <c r="AB4" s="501" t="e">
        <f>INDEX(PT_DIFFERENTIATION_CS,MATCH(C4,PT_DIFFERENTIATION_CS_ID,0))</f>
        <v>#VALUE!</v>
      </c>
      <c r="AC4" s="502"/>
      <c r="AD4" s="502"/>
      <c r="AE4" s="502"/>
      <c r="AF4" s="502"/>
      <c r="AG4" s="502"/>
      <c r="AH4" s="502"/>
      <c r="AI4" s="502"/>
      <c r="AJ4" s="502"/>
      <c r="AK4" s="502"/>
      <c r="AL4" s="502"/>
      <c r="AM4" s="502"/>
      <c r="AN4" s="502"/>
      <c r="AO4" s="502"/>
      <c r="AP4" s="502"/>
      <c r="AQ4" s="502"/>
      <c r="AR4" s="502"/>
      <c r="AS4" s="502"/>
      <c r="AT4" s="503"/>
      <c r="AU4" s="504" t="s">
        <v>402</v>
      </c>
      <c r="AW4" s="129"/>
      <c r="AX4" s="129" t="str">
        <f t="shared" si="21"/>
        <v xml:space="preserve">Наименование системы теплоснабжения</v>
      </c>
      <c r="AY4" s="129"/>
      <c r="AZ4" s="129"/>
      <c r="BA4" s="50">
        <v>0</v>
      </c>
    </row>
    <row r="5" ht="21" hidden="1" customHeight="1">
      <c r="A5" s="493"/>
      <c r="B5" s="493"/>
      <c r="C5" s="493"/>
      <c r="D5" s="493"/>
      <c r="E5" s="505"/>
      <c r="F5" s="505"/>
      <c r="G5" s="505"/>
      <c r="H5" s="494">
        <v>1</v>
      </c>
      <c r="I5" s="493"/>
      <c r="J5" s="493"/>
      <c r="K5" s="493"/>
      <c r="L5" s="495"/>
      <c r="M5" s="496"/>
      <c r="N5" s="496"/>
      <c r="O5" s="496"/>
      <c r="P5" s="135"/>
      <c r="Q5" s="643"/>
      <c r="R5" s="507"/>
      <c r="S5" s="498" t="e">
        <f>INDEX(PT_DIFFERENTIATION_NUM_IST_TE,MATCH(D5,PT_DIFFERENTIATION_IST_TE_ID,0))</f>
        <v>#VALUE!</v>
      </c>
      <c r="T5" s="511" t="s">
        <v>403</v>
      </c>
      <c r="U5" s="500"/>
      <c r="V5" s="502"/>
      <c r="W5" s="502"/>
      <c r="X5" s="502"/>
      <c r="Y5" s="502"/>
      <c r="Z5" s="502"/>
      <c r="AA5" s="503"/>
      <c r="AB5" s="501" t="e">
        <f>INDEX(PT_DIFFERENTIATION_IST_TE,MATCH(D5,PT_DIFFERENTIATION_IST_TE_ID,0))</f>
        <v>#VALUE!</v>
      </c>
      <c r="AC5" s="502"/>
      <c r="AD5" s="502"/>
      <c r="AE5" s="502"/>
      <c r="AF5" s="502"/>
      <c r="AG5" s="502"/>
      <c r="AH5" s="502"/>
      <c r="AI5" s="502"/>
      <c r="AJ5" s="502"/>
      <c r="AK5" s="502"/>
      <c r="AL5" s="502"/>
      <c r="AM5" s="502"/>
      <c r="AN5" s="502"/>
      <c r="AO5" s="502"/>
      <c r="AP5" s="502"/>
      <c r="AQ5" s="502"/>
      <c r="AR5" s="502"/>
      <c r="AS5" s="502"/>
      <c r="AT5" s="503"/>
      <c r="AU5" s="504" t="s">
        <v>404</v>
      </c>
      <c r="AW5" s="129"/>
      <c r="AX5" s="129" t="str">
        <f t="shared" si="21"/>
        <v xml:space="preserve">Источник тепловой энергии</v>
      </c>
      <c r="AY5" s="129"/>
      <c r="AZ5" s="129"/>
      <c r="BA5" s="50">
        <v>0</v>
      </c>
    </row>
    <row r="6" s="57" customFormat="1" ht="0.75" hidden="1" customHeight="1">
      <c r="A6" s="133"/>
      <c r="B6" s="133"/>
      <c r="C6" s="133"/>
      <c r="D6" s="133"/>
      <c r="E6" s="505"/>
      <c r="F6" s="505"/>
      <c r="G6" s="505"/>
      <c r="H6" s="505"/>
      <c r="I6" s="512" t="e">
        <f>S5&amp;".1"</f>
        <v>#VALUE!</v>
      </c>
      <c r="J6" s="133"/>
      <c r="K6" s="133"/>
      <c r="L6" s="212" t="s">
        <v>405</v>
      </c>
      <c r="M6" s="610"/>
      <c r="N6" s="610"/>
      <c r="O6" s="610"/>
      <c r="P6" s="132">
        <v>1</v>
      </c>
      <c r="Q6" s="132"/>
      <c r="R6" s="513"/>
      <c r="S6" s="366"/>
      <c r="T6" s="600"/>
      <c r="U6" s="601"/>
      <c r="V6" s="603"/>
      <c r="W6" s="603"/>
      <c r="X6" s="603"/>
      <c r="Y6" s="603"/>
      <c r="Z6" s="603"/>
      <c r="AA6" s="604"/>
      <c r="AB6" s="602"/>
      <c r="AC6" s="603"/>
      <c r="AD6" s="603"/>
      <c r="AE6" s="603"/>
      <c r="AF6" s="603"/>
      <c r="AG6" s="603"/>
      <c r="AH6" s="603"/>
      <c r="AI6" s="603"/>
      <c r="AJ6" s="603"/>
      <c r="AK6" s="603"/>
      <c r="AL6" s="603"/>
      <c r="AM6" s="603"/>
      <c r="AN6" s="603"/>
      <c r="AO6" s="603"/>
      <c r="AP6" s="603"/>
      <c r="AQ6" s="603"/>
      <c r="AR6" s="603"/>
      <c r="AS6" s="603"/>
      <c r="AT6" s="604"/>
      <c r="AU6" s="605"/>
      <c r="AW6" s="129"/>
      <c r="AX6" s="129" t="str">
        <f t="shared" si="21"/>
        <v/>
      </c>
      <c r="AY6" s="129"/>
      <c r="AZ6" s="129"/>
      <c r="BA6" s="57">
        <v>0</v>
      </c>
    </row>
    <row r="7" s="57" customFormat="1" ht="0.75" hidden="1" customHeight="1">
      <c r="A7" s="133"/>
      <c r="B7" s="133"/>
      <c r="C7" s="133"/>
      <c r="D7" s="133"/>
      <c r="E7" s="505"/>
      <c r="F7" s="505"/>
      <c r="G7" s="505"/>
      <c r="H7" s="505"/>
      <c r="I7" s="517"/>
      <c r="J7" s="512" t="e">
        <f>S5&amp;".1"</f>
        <v>#VALUE!</v>
      </c>
      <c r="K7" s="133"/>
      <c r="L7" s="212"/>
      <c r="M7" s="610"/>
      <c r="N7" s="610"/>
      <c r="O7" s="610"/>
      <c r="P7" s="132"/>
      <c r="Q7" s="132">
        <v>1</v>
      </c>
      <c r="R7" s="518"/>
      <c r="S7" s="366"/>
      <c r="T7" s="644"/>
      <c r="U7" s="601"/>
      <c r="V7" s="603"/>
      <c r="W7" s="603"/>
      <c r="X7" s="603"/>
      <c r="Y7" s="603"/>
      <c r="Z7" s="603"/>
      <c r="AA7" s="604"/>
      <c r="AB7" s="602"/>
      <c r="AC7" s="603"/>
      <c r="AD7" s="603"/>
      <c r="AE7" s="603"/>
      <c r="AF7" s="603"/>
      <c r="AG7" s="603"/>
      <c r="AH7" s="603"/>
      <c r="AI7" s="603"/>
      <c r="AJ7" s="603"/>
      <c r="AK7" s="603"/>
      <c r="AL7" s="603"/>
      <c r="AM7" s="603"/>
      <c r="AN7" s="603"/>
      <c r="AO7" s="603"/>
      <c r="AP7" s="603"/>
      <c r="AQ7" s="603"/>
      <c r="AR7" s="603"/>
      <c r="AS7" s="603"/>
      <c r="AT7" s="604"/>
      <c r="AU7" s="605"/>
      <c r="AW7" s="129"/>
      <c r="AX7" s="129" t="str">
        <f t="shared" si="21"/>
        <v/>
      </c>
      <c r="AY7" s="129"/>
      <c r="AZ7" s="129"/>
      <c r="BA7" s="57">
        <v>0</v>
      </c>
    </row>
    <row r="8" ht="21" hidden="1" customHeight="1">
      <c r="A8" s="493"/>
      <c r="B8" s="493"/>
      <c r="C8" s="493"/>
      <c r="D8" s="493"/>
      <c r="E8" s="505"/>
      <c r="F8" s="505"/>
      <c r="G8" s="505"/>
      <c r="H8" s="505"/>
      <c r="I8" s="517"/>
      <c r="J8" s="517"/>
      <c r="K8" s="512" t="e">
        <f>S5&amp;".1"</f>
        <v>#VALUE!</v>
      </c>
      <c r="L8" s="495"/>
      <c r="P8" s="132"/>
      <c r="Q8" s="132"/>
      <c r="R8" s="645">
        <v>1</v>
      </c>
      <c r="S8" s="612" t="e">
        <f>$K8</f>
        <v>#VALUE!</v>
      </c>
      <c r="T8" s="646"/>
      <c r="U8" s="500"/>
      <c r="V8" s="521"/>
      <c r="W8" s="523"/>
      <c r="X8" s="524"/>
      <c r="Y8" s="224" t="s">
        <v>66</v>
      </c>
      <c r="Z8" s="524"/>
      <c r="AA8" s="224" t="s">
        <v>66</v>
      </c>
      <c r="AB8" s="224" t="s">
        <v>19</v>
      </c>
      <c r="AC8" s="647"/>
      <c r="AD8" s="360">
        <v>1</v>
      </c>
      <c r="AE8" s="87"/>
      <c r="AF8" s="224" t="s">
        <v>19</v>
      </c>
      <c r="AG8" s="647"/>
      <c r="AH8" s="360">
        <v>1</v>
      </c>
      <c r="AI8" s="87"/>
      <c r="AJ8" s="224" t="s">
        <v>19</v>
      </c>
      <c r="AK8" s="648"/>
      <c r="AL8" s="360">
        <v>1</v>
      </c>
      <c r="AM8" s="115"/>
      <c r="AN8" s="521"/>
      <c r="AO8" s="523"/>
      <c r="AP8" s="524"/>
      <c r="AQ8" s="224" t="s">
        <v>66</v>
      </c>
      <c r="AR8" s="524"/>
      <c r="AS8" s="224" t="s">
        <v>66</v>
      </c>
      <c r="AT8" s="585"/>
      <c r="AU8" s="525" t="s">
        <v>463</v>
      </c>
      <c r="AV8" s="57" t="e">
        <f>STRCHECKDATE(V11:AT11)</f>
        <v>#NAME?</v>
      </c>
      <c r="AW8" s="129"/>
      <c r="AX8" s="129" t="str">
        <f t="shared" si="21"/>
        <v/>
      </c>
      <c r="AY8" s="129"/>
      <c r="AZ8" s="129"/>
      <c r="BA8" s="50">
        <v>0</v>
      </c>
    </row>
    <row r="9" ht="11.25" hidden="1" customHeight="1">
      <c r="A9" s="493"/>
      <c r="B9" s="493"/>
      <c r="C9" s="493"/>
      <c r="D9" s="493"/>
      <c r="E9" s="505"/>
      <c r="F9" s="505"/>
      <c r="G9" s="505"/>
      <c r="H9" s="505"/>
      <c r="I9" s="517"/>
      <c r="J9" s="517"/>
      <c r="K9" s="512"/>
      <c r="L9" s="495"/>
      <c r="P9" s="132"/>
      <c r="Q9" s="132"/>
      <c r="R9" s="645"/>
      <c r="S9" s="649"/>
      <c r="T9" s="650"/>
      <c r="U9" s="500"/>
      <c r="V9" s="636"/>
      <c r="W9" s="651"/>
      <c r="X9" s="524"/>
      <c r="Y9" s="224"/>
      <c r="Z9" s="524"/>
      <c r="AA9" s="224"/>
      <c r="AB9" s="224"/>
      <c r="AC9" s="647"/>
      <c r="AD9" s="360"/>
      <c r="AE9" s="87"/>
      <c r="AF9" s="224"/>
      <c r="AG9" s="647"/>
      <c r="AH9" s="360"/>
      <c r="AI9" s="87"/>
      <c r="AJ9" s="224"/>
      <c r="AK9" s="652"/>
      <c r="AL9" s="177"/>
      <c r="AM9" s="172" t="s">
        <v>464</v>
      </c>
      <c r="AN9" s="636"/>
      <c r="AO9" s="653"/>
      <c r="AP9" s="636"/>
      <c r="AQ9" s="636"/>
      <c r="AR9" s="636"/>
      <c r="AS9" s="636"/>
      <c r="AT9" s="654"/>
      <c r="AU9" s="528"/>
      <c r="AW9" s="129"/>
      <c r="AX9" s="129"/>
      <c r="AY9" s="129"/>
      <c r="AZ9" s="129"/>
      <c r="BA9" s="50">
        <v>0</v>
      </c>
    </row>
    <row r="10" ht="11.25" hidden="1" customHeight="1">
      <c r="A10" s="493"/>
      <c r="B10" s="493"/>
      <c r="C10" s="493"/>
      <c r="D10" s="493"/>
      <c r="E10" s="505"/>
      <c r="F10" s="505"/>
      <c r="G10" s="505"/>
      <c r="H10" s="505"/>
      <c r="I10" s="517"/>
      <c r="J10" s="517"/>
      <c r="K10" s="512"/>
      <c r="L10" s="495"/>
      <c r="P10" s="132"/>
      <c r="Q10" s="132"/>
      <c r="R10" s="645"/>
      <c r="S10" s="649"/>
      <c r="T10" s="650"/>
      <c r="U10" s="500"/>
      <c r="V10" s="636"/>
      <c r="W10" s="651"/>
      <c r="X10" s="524"/>
      <c r="Y10" s="224"/>
      <c r="Z10" s="524"/>
      <c r="AA10" s="224"/>
      <c r="AB10" s="224"/>
      <c r="AC10" s="647"/>
      <c r="AD10" s="360"/>
      <c r="AE10" s="87"/>
      <c r="AF10" s="224"/>
      <c r="AG10" s="655"/>
      <c r="AH10" s="172"/>
      <c r="AI10" s="172" t="s">
        <v>465</v>
      </c>
      <c r="AJ10" s="636"/>
      <c r="AK10" s="636"/>
      <c r="AL10" s="636"/>
      <c r="AM10" s="636"/>
      <c r="AN10" s="636"/>
      <c r="AO10" s="653"/>
      <c r="AP10" s="636"/>
      <c r="AQ10" s="636"/>
      <c r="AR10" s="636"/>
      <c r="AS10" s="636"/>
      <c r="AT10" s="654"/>
      <c r="AU10" s="528"/>
      <c r="AW10" s="129"/>
      <c r="AX10" s="129"/>
      <c r="AY10" s="129"/>
      <c r="AZ10" s="129"/>
      <c r="BA10" s="50">
        <v>0</v>
      </c>
    </row>
    <row r="11" ht="11.25" hidden="1" customHeight="1">
      <c r="A11" s="493"/>
      <c r="B11" s="493"/>
      <c r="C11" s="493"/>
      <c r="D11" s="493"/>
      <c r="E11" s="505"/>
      <c r="F11" s="505"/>
      <c r="G11" s="505"/>
      <c r="H11" s="505"/>
      <c r="I11" s="517"/>
      <c r="J11" s="517"/>
      <c r="K11" s="512"/>
      <c r="L11" s="495"/>
      <c r="P11" s="132"/>
      <c r="Q11" s="132"/>
      <c r="R11" s="645"/>
      <c r="S11" s="622"/>
      <c r="T11" s="656"/>
      <c r="U11" s="500"/>
      <c r="V11" s="636"/>
      <c r="W11" s="657" t="str">
        <f>X8&amp;"-"&amp;Z8</f>
        <v>-</v>
      </c>
      <c r="X11" s="527"/>
      <c r="Y11" s="224"/>
      <c r="Z11" s="527"/>
      <c r="AA11" s="224"/>
      <c r="AB11" s="224"/>
      <c r="AC11" s="658"/>
      <c r="AD11" s="659"/>
      <c r="AE11" s="172" t="s">
        <v>466</v>
      </c>
      <c r="AF11" s="636"/>
      <c r="AG11" s="636"/>
      <c r="AH11" s="636"/>
      <c r="AI11" s="636"/>
      <c r="AJ11" s="636"/>
      <c r="AK11" s="636"/>
      <c r="AL11" s="636"/>
      <c r="AM11" s="636"/>
      <c r="AN11" s="636"/>
      <c r="AO11" s="637" t="str">
        <f>AP8&amp;"-"&amp;AR8</f>
        <v>-</v>
      </c>
      <c r="AP11" s="636"/>
      <c r="AQ11" s="636"/>
      <c r="AR11" s="636"/>
      <c r="AS11" s="636"/>
      <c r="AT11" s="587"/>
      <c r="AU11" s="528"/>
      <c r="AW11" s="129"/>
      <c r="AX11" s="129" t="str">
        <f t="shared" ref="AX11:AX62" si="22">IF(T11="","",T11)</f>
        <v/>
      </c>
      <c r="AY11" s="129"/>
      <c r="AZ11" s="129"/>
      <c r="BA11" s="50">
        <v>0</v>
      </c>
    </row>
    <row r="12" ht="11.25" hidden="1" customHeight="1">
      <c r="A12" s="493"/>
      <c r="B12" s="493"/>
      <c r="C12" s="493"/>
      <c r="D12" s="493"/>
      <c r="E12" s="505"/>
      <c r="F12" s="505"/>
      <c r="G12" s="505"/>
      <c r="H12" s="505"/>
      <c r="I12" s="517"/>
      <c r="J12" s="512"/>
      <c r="K12" s="493"/>
      <c r="L12" s="495"/>
      <c r="P12" s="132"/>
      <c r="Q12" s="132"/>
      <c r="R12" s="513"/>
      <c r="S12" s="529"/>
      <c r="T12" s="533" t="s">
        <v>467</v>
      </c>
      <c r="U12" s="214"/>
      <c r="V12" s="214"/>
      <c r="W12" s="214"/>
      <c r="X12" s="214"/>
      <c r="Y12" s="214"/>
      <c r="Z12" s="214"/>
      <c r="AA12" s="214"/>
      <c r="AB12" s="214"/>
      <c r="AC12" s="214"/>
      <c r="AD12" s="214"/>
      <c r="AE12" s="214"/>
      <c r="AF12" s="214"/>
      <c r="AG12" s="214"/>
      <c r="AH12" s="214"/>
      <c r="AI12" s="214"/>
      <c r="AJ12" s="214"/>
      <c r="AK12" s="214"/>
      <c r="AL12" s="214"/>
      <c r="AM12" s="214"/>
      <c r="AN12" s="214"/>
      <c r="AO12" s="214"/>
      <c r="AP12" s="214"/>
      <c r="AQ12" s="214"/>
      <c r="AR12" s="214"/>
      <c r="AS12" s="214"/>
      <c r="AT12" s="531"/>
      <c r="AU12" s="532"/>
      <c r="AW12" s="129"/>
      <c r="AX12" s="129" t="str">
        <f t="shared" si="22"/>
        <v xml:space="preserve">Добавить строку</v>
      </c>
      <c r="AY12" s="129"/>
      <c r="AZ12" s="129"/>
      <c r="BA12" s="50">
        <v>0</v>
      </c>
    </row>
    <row r="13" s="57" customFormat="1" ht="0.75" hidden="1" customHeight="1">
      <c r="A13" s="133"/>
      <c r="B13" s="133"/>
      <c r="C13" s="133"/>
      <c r="D13" s="133"/>
      <c r="E13" s="505"/>
      <c r="F13" s="505"/>
      <c r="G13" s="505"/>
      <c r="H13" s="505"/>
      <c r="I13" s="512"/>
      <c r="J13" s="133"/>
      <c r="K13" s="133"/>
      <c r="L13" s="212"/>
      <c r="M13" s="610"/>
      <c r="N13" s="610"/>
      <c r="O13" s="610"/>
      <c r="P13" s="132"/>
      <c r="Q13" s="132"/>
      <c r="R13" s="513"/>
      <c r="S13" s="606"/>
      <c r="T13" s="607"/>
      <c r="U13" s="608"/>
      <c r="V13" s="608"/>
      <c r="W13" s="608"/>
      <c r="X13" s="608"/>
      <c r="Y13" s="608"/>
      <c r="Z13" s="608"/>
      <c r="AA13" s="608"/>
      <c r="AB13" s="608"/>
      <c r="AC13" s="608"/>
      <c r="AD13" s="608"/>
      <c r="AE13" s="608"/>
      <c r="AF13" s="608"/>
      <c r="AG13" s="608"/>
      <c r="AH13" s="608"/>
      <c r="AI13" s="608"/>
      <c r="AJ13" s="608"/>
      <c r="AK13" s="608"/>
      <c r="AL13" s="608"/>
      <c r="AM13" s="608"/>
      <c r="AN13" s="608"/>
      <c r="AO13" s="608"/>
      <c r="AP13" s="608"/>
      <c r="AQ13" s="608"/>
      <c r="AR13" s="608"/>
      <c r="AS13" s="608"/>
      <c r="AT13" s="608"/>
      <c r="AU13" s="609"/>
      <c r="AW13" s="129"/>
      <c r="AX13" s="129" t="str">
        <f t="shared" si="22"/>
        <v/>
      </c>
      <c r="AY13" s="129"/>
      <c r="AZ13" s="129"/>
      <c r="BA13" s="57">
        <v>0</v>
      </c>
    </row>
    <row r="14" s="57" customFormat="1" ht="0.75" hidden="1" customHeight="1">
      <c r="A14" s="133"/>
      <c r="B14" s="133"/>
      <c r="C14" s="133"/>
      <c r="D14" s="133"/>
      <c r="E14" s="505"/>
      <c r="F14" s="505"/>
      <c r="G14" s="505"/>
      <c r="H14" s="494"/>
      <c r="I14" s="133"/>
      <c r="J14" s="133"/>
      <c r="K14" s="133"/>
      <c r="L14" s="212"/>
      <c r="M14" s="478"/>
      <c r="N14" s="478"/>
      <c r="O14" s="57"/>
      <c r="P14" s="167"/>
      <c r="Q14" s="538"/>
      <c r="R14" s="660"/>
      <c r="S14" s="606"/>
      <c r="T14" s="607"/>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9"/>
      <c r="AW14" s="129"/>
      <c r="AX14" s="129" t="str">
        <f t="shared" si="22"/>
        <v/>
      </c>
      <c r="AY14" s="129"/>
      <c r="AZ14" s="129"/>
      <c r="BA14" s="57">
        <v>0</v>
      </c>
    </row>
    <row r="15" s="57" customFormat="1" ht="0.75" hidden="1" customHeight="1">
      <c r="A15" s="133"/>
      <c r="B15" s="133"/>
      <c r="C15" s="133"/>
      <c r="D15" s="133"/>
      <c r="E15" s="505"/>
      <c r="F15" s="505"/>
      <c r="G15" s="494"/>
      <c r="H15" s="133"/>
      <c r="I15" s="133"/>
      <c r="J15" s="133"/>
      <c r="K15" s="133"/>
      <c r="L15" s="212"/>
      <c r="M15" s="478"/>
      <c r="N15" s="478"/>
      <c r="P15" s="167"/>
      <c r="Q15" s="538"/>
      <c r="R15" s="167"/>
      <c r="S15" s="543"/>
      <c r="T15" s="546" t="s">
        <v>416</v>
      </c>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W15" s="129"/>
      <c r="AX15" s="129" t="str">
        <f t="shared" si="22"/>
        <v xml:space="preserve">Добавить источник для дифференциации</v>
      </c>
      <c r="AY15" s="129"/>
      <c r="AZ15" s="129"/>
      <c r="BA15" s="57">
        <v>0</v>
      </c>
    </row>
    <row r="16" s="57" customFormat="1" ht="0.75" hidden="1" customHeight="1">
      <c r="A16" s="133"/>
      <c r="B16" s="133"/>
      <c r="C16" s="133"/>
      <c r="D16" s="133"/>
      <c r="E16" s="505"/>
      <c r="F16" s="494"/>
      <c r="G16" s="133"/>
      <c r="H16" s="133"/>
      <c r="I16" s="133"/>
      <c r="J16" s="133"/>
      <c r="K16" s="133"/>
      <c r="L16" s="212"/>
      <c r="M16" s="542"/>
      <c r="N16" s="542"/>
      <c r="P16" s="167"/>
      <c r="Q16" s="538"/>
      <c r="R16" s="167"/>
      <c r="S16" s="543"/>
      <c r="T16" s="546" t="s">
        <v>238</v>
      </c>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W16" s="129"/>
      <c r="AX16" s="129" t="str">
        <f t="shared" si="22"/>
        <v xml:space="preserve">Добавить централизованную систему для дифференциации</v>
      </c>
      <c r="AY16" s="129"/>
      <c r="AZ16" s="129"/>
      <c r="BA16" s="57">
        <v>0</v>
      </c>
    </row>
    <row r="17" s="57" customFormat="1" ht="0.75" hidden="1" customHeight="1">
      <c r="A17" s="133"/>
      <c r="B17" s="133"/>
      <c r="C17" s="133"/>
      <c r="D17" s="133"/>
      <c r="E17" s="494"/>
      <c r="F17" s="133"/>
      <c r="G17" s="133"/>
      <c r="H17" s="133"/>
      <c r="I17" s="133"/>
      <c r="J17" s="133"/>
      <c r="K17" s="133"/>
      <c r="L17" s="212"/>
      <c r="M17" s="542"/>
      <c r="N17" s="542"/>
      <c r="O17" s="57"/>
      <c r="P17" s="167"/>
      <c r="Q17" s="538"/>
      <c r="R17" s="167"/>
      <c r="S17" s="543"/>
      <c r="T17" s="546" t="s">
        <v>239</v>
      </c>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545"/>
      <c r="AU17" s="545"/>
      <c r="AW17" s="129"/>
      <c r="AX17" s="129" t="str">
        <f t="shared" si="22"/>
        <v xml:space="preserve">Добавить территорию для дифференциации</v>
      </c>
      <c r="AY17" s="129"/>
      <c r="AZ17" s="129"/>
      <c r="BA17" s="57">
        <v>0</v>
      </c>
    </row>
    <row r="18" ht="14.25" hidden="1" customHeight="1">
      <c r="AA18" s="50"/>
      <c r="AS18" s="50"/>
      <c r="BA18" s="50">
        <v>0</v>
      </c>
    </row>
    <row r="19" ht="14.25" hidden="1" customHeight="1">
      <c r="AB19" s="545" t="s">
        <v>19</v>
      </c>
      <c r="AC19" s="661"/>
      <c r="AD19" s="545">
        <v>1</v>
      </c>
      <c r="AE19" s="662"/>
      <c r="AF19" s="545" t="s">
        <v>19</v>
      </c>
      <c r="AG19" s="661"/>
      <c r="AH19" s="545">
        <v>1</v>
      </c>
      <c r="AI19" s="662"/>
      <c r="AJ19" s="545" t="s">
        <v>19</v>
      </c>
      <c r="AK19" s="663"/>
      <c r="AL19" s="545">
        <v>1</v>
      </c>
      <c r="AM19" s="664"/>
      <c r="AN19" s="665"/>
      <c r="AO19" s="666"/>
      <c r="AP19" s="667"/>
      <c r="AQ19" s="299" t="s">
        <v>66</v>
      </c>
      <c r="AR19" s="667"/>
      <c r="AS19" s="299" t="s">
        <v>66</v>
      </c>
      <c r="BA19" s="50">
        <v>0</v>
      </c>
    </row>
    <row r="20" ht="14.25" hidden="1" customHeight="1">
      <c r="AV20" s="131"/>
      <c r="AW20" s="131"/>
      <c r="AX20" s="131"/>
      <c r="AY20" s="131"/>
      <c r="AZ20" s="131"/>
      <c r="BA20" s="50">
        <v>0</v>
      </c>
    </row>
    <row r="21" ht="14.25" hidden="1" customHeight="1">
      <c r="O21" s="551" t="s">
        <v>417</v>
      </c>
      <c r="X21" s="595"/>
      <c r="Z21" s="595"/>
      <c r="AA21" s="50"/>
      <c r="AP21" s="595"/>
      <c r="AR21" s="595"/>
      <c r="AS21" s="50"/>
      <c r="AV21" s="131"/>
      <c r="AW21" s="131"/>
      <c r="AX21" s="131"/>
      <c r="AY21" s="131"/>
      <c r="AZ21" s="131"/>
      <c r="BA21" s="50">
        <v>0</v>
      </c>
    </row>
    <row r="22" ht="14.25" hidden="1" customHeight="1">
      <c r="AA22" s="50"/>
      <c r="AS22" s="50"/>
      <c r="AV22" s="131"/>
      <c r="AW22" s="131"/>
      <c r="AX22" s="131"/>
      <c r="AY22" s="131"/>
      <c r="AZ22" s="131"/>
      <c r="BA22" s="50">
        <v>0</v>
      </c>
    </row>
    <row r="23" s="668" customFormat="1" ht="14.25" hidden="1" customHeight="1">
      <c r="M23" s="669"/>
      <c r="N23" s="669"/>
      <c r="O23" s="668" t="s">
        <v>418</v>
      </c>
      <c r="P23" s="669"/>
      <c r="Q23" s="670"/>
      <c r="R23" s="670"/>
      <c r="Y23" s="668" t="s">
        <v>420</v>
      </c>
      <c r="AA23" s="668" t="s">
        <v>421</v>
      </c>
      <c r="AB23" s="668" t="s">
        <v>468</v>
      </c>
      <c r="AE23" s="668" t="s">
        <v>469</v>
      </c>
      <c r="AF23" s="668" t="s">
        <v>468</v>
      </c>
      <c r="AI23" s="668" t="s">
        <v>470</v>
      </c>
      <c r="AJ23" s="668" t="s">
        <v>468</v>
      </c>
      <c r="AM23" s="668" t="s">
        <v>471</v>
      </c>
      <c r="AQ23" s="668" t="s">
        <v>420</v>
      </c>
      <c r="AS23" s="668" t="s">
        <v>421</v>
      </c>
      <c r="AV23" s="671"/>
      <c r="AW23" s="671"/>
      <c r="AX23" s="671"/>
      <c r="AY23" s="671"/>
      <c r="AZ23" s="671"/>
      <c r="BA23" s="668">
        <v>0</v>
      </c>
    </row>
    <row r="24" ht="14.25" hidden="1" customHeight="1">
      <c r="O24" s="495"/>
      <c r="AV24" s="131"/>
      <c r="AW24" s="131"/>
      <c r="AX24" s="131"/>
      <c r="AY24" s="131"/>
      <c r="AZ24" s="131"/>
      <c r="BA24" s="50">
        <v>0</v>
      </c>
    </row>
    <row r="25" ht="14.25" hidden="1" customHeight="1">
      <c r="O25" s="495"/>
      <c r="AV25" s="131"/>
      <c r="AW25" s="131"/>
      <c r="AX25" s="131"/>
      <c r="AY25" s="131"/>
      <c r="AZ25" s="131"/>
      <c r="BA25" s="50">
        <v>0</v>
      </c>
    </row>
    <row r="26" ht="14.65" customHeight="1">
      <c r="Q26" s="672"/>
      <c r="R26" s="553"/>
      <c r="S26" s="554"/>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72"/>
      <c r="R27" s="553"/>
      <c r="S27" s="466"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6"/>
      <c r="U27" s="466"/>
      <c r="V27" s="466"/>
      <c r="W27" s="466"/>
      <c r="X27" s="466"/>
      <c r="Y27" s="466"/>
      <c r="Z27" s="466"/>
      <c r="AA27" s="466"/>
      <c r="AB27" s="466"/>
      <c r="AC27" s="466"/>
      <c r="AD27" s="466"/>
      <c r="AE27" s="466"/>
      <c r="AF27" s="466"/>
      <c r="AG27" s="466"/>
      <c r="AH27" s="466"/>
      <c r="AI27" s="466"/>
      <c r="AJ27" s="466"/>
      <c r="AK27" s="466"/>
      <c r="AL27" s="466"/>
      <c r="AM27" s="466"/>
      <c r="AN27" s="466"/>
      <c r="AO27" s="466"/>
      <c r="AP27" s="466"/>
      <c r="AQ27" s="466"/>
      <c r="AR27" s="466"/>
      <c r="AS27" s="240"/>
      <c r="BA27" s="50">
        <v>26</v>
      </c>
    </row>
    <row r="28" ht="14.65" customHeight="1">
      <c r="Q28" s="672"/>
      <c r="R28" s="553"/>
      <c r="S28" s="320" t="str">
        <f>IF(org=0,"Не определено",org)</f>
        <v xml:space="preserve">филиал Пермская ГРЭС АО "Интер РАО - Электрогенерация"</v>
      </c>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240"/>
      <c r="BA28" s="50">
        <v>14</v>
      </c>
    </row>
    <row r="29" ht="14.25" hidden="1" customHeight="1">
      <c r="Q29" s="672"/>
      <c r="R29" s="553"/>
      <c r="S29" s="554"/>
      <c r="T29" s="91"/>
      <c r="U29" s="91"/>
      <c r="V29" s="555"/>
      <c r="W29" s="555"/>
      <c r="X29" s="555"/>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0"/>
      <c r="BA29" s="50">
        <v>0</v>
      </c>
    </row>
    <row r="30" s="184" customFormat="1" ht="25.5" hidden="1" customHeight="1">
      <c r="A30" s="151"/>
      <c r="B30" s="151"/>
      <c r="C30" s="151"/>
      <c r="D30" s="151"/>
      <c r="E30" s="151"/>
      <c r="F30" s="151"/>
      <c r="G30" s="151"/>
      <c r="H30" s="151"/>
      <c r="I30" s="151"/>
      <c r="J30" s="151"/>
      <c r="K30" s="151"/>
      <c r="L30" s="495"/>
      <c r="M30" s="151"/>
      <c r="N30" s="151"/>
      <c r="O30" s="151"/>
      <c r="P30" s="151"/>
      <c r="Q30" s="151"/>
      <c r="S30" s="556" t="s">
        <v>42</v>
      </c>
      <c r="T30" s="556"/>
      <c r="U30" s="557"/>
      <c r="V30" s="558" t="str">
        <f>IF(TITLE_NAME_OR_PR_CHANGE="",IF(TITLE_NAME_OR_PR="","",TITLE_NAME_OR_PR),TITLE_NAME_OR_PR_CHANGE)</f>
        <v/>
      </c>
      <c r="W30" s="558"/>
      <c r="X30" s="558"/>
      <c r="Y30" s="558"/>
      <c r="Z30" s="558"/>
      <c r="AA30" s="50"/>
      <c r="AB30" s="558" t="str">
        <f>IF(TITLE_NAME_OR_PR_CHANGE="",IF(TITLE_NAME_OR_PR="","",TITLE_NAME_OR_PR),TITLE_NAME_OR_PR_CHANGE)</f>
        <v/>
      </c>
      <c r="AC30" s="558"/>
      <c r="AD30" s="558"/>
      <c r="AE30" s="558"/>
      <c r="AF30" s="558"/>
      <c r="AG30" s="558"/>
      <c r="AH30" s="558"/>
      <c r="AI30" s="558"/>
      <c r="AJ30" s="558"/>
      <c r="AK30" s="558"/>
      <c r="AL30" s="558"/>
      <c r="AM30" s="558"/>
      <c r="AN30" s="558"/>
      <c r="AO30" s="558"/>
      <c r="AP30" s="558"/>
      <c r="AQ30" s="558"/>
      <c r="AR30" s="558"/>
      <c r="AS30" s="50"/>
      <c r="AT30" s="50"/>
      <c r="AU30" s="559"/>
      <c r="AV30" s="129"/>
      <c r="AW30" s="129"/>
      <c r="AX30" s="129"/>
      <c r="AY30" s="129"/>
      <c r="AZ30" s="129"/>
      <c r="BA30" s="184">
        <v>0</v>
      </c>
    </row>
    <row r="31" s="184" customFormat="1" ht="18.75" hidden="1" customHeight="1">
      <c r="A31" s="151"/>
      <c r="B31" s="151"/>
      <c r="C31" s="151"/>
      <c r="D31" s="151"/>
      <c r="E31" s="151"/>
      <c r="F31" s="151"/>
      <c r="G31" s="151"/>
      <c r="H31" s="151"/>
      <c r="I31" s="151"/>
      <c r="J31" s="151"/>
      <c r="K31" s="151"/>
      <c r="L31" s="495"/>
      <c r="M31" s="151"/>
      <c r="N31" s="151"/>
      <c r="O31" s="151"/>
      <c r="P31" s="151"/>
      <c r="Q31" s="151"/>
      <c r="S31" s="556" t="s">
        <v>423</v>
      </c>
      <c r="T31" s="556"/>
      <c r="U31" s="557"/>
      <c r="V31" s="560" t="str">
        <f>IF(TITLE_DATE_PR_CHANGE="",IF(TITLE_DATE_PR="","",TITLE_DATE_PR),TITLE_DATE_PR_CHANGE)</f>
        <v>45406</v>
      </c>
      <c r="W31" s="560"/>
      <c r="X31" s="560"/>
      <c r="Y31" s="560"/>
      <c r="Z31" s="560"/>
      <c r="AA31" s="50"/>
      <c r="AB31" s="560" t="str">
        <f>IF(TITLE_DATE_PR_CHANGE="",IF(TITLE_DATE_PR="","",TITLE_DATE_PR),TITLE_DATE_PR_CHANGE)</f>
        <v>45406</v>
      </c>
      <c r="AC31" s="560"/>
      <c r="AD31" s="560"/>
      <c r="AE31" s="560"/>
      <c r="AF31" s="560"/>
      <c r="AG31" s="560"/>
      <c r="AH31" s="560"/>
      <c r="AI31" s="560"/>
      <c r="AJ31" s="560"/>
      <c r="AK31" s="560"/>
      <c r="AL31" s="560"/>
      <c r="AM31" s="560"/>
      <c r="AN31" s="560"/>
      <c r="AO31" s="560"/>
      <c r="AP31" s="560"/>
      <c r="AQ31" s="560"/>
      <c r="AR31" s="560"/>
      <c r="AS31" s="50"/>
      <c r="AT31" s="50"/>
      <c r="AU31" s="559"/>
      <c r="AV31" s="129"/>
      <c r="AW31" s="129"/>
      <c r="AX31" s="129"/>
      <c r="AY31" s="129"/>
      <c r="AZ31" s="129"/>
      <c r="BA31" s="184">
        <v>0</v>
      </c>
    </row>
    <row r="32" s="184" customFormat="1" ht="18.75" hidden="1" customHeight="1">
      <c r="A32" s="151"/>
      <c r="B32" s="151"/>
      <c r="C32" s="151"/>
      <c r="D32" s="151"/>
      <c r="E32" s="151"/>
      <c r="F32" s="151"/>
      <c r="G32" s="151"/>
      <c r="H32" s="151"/>
      <c r="I32" s="151"/>
      <c r="J32" s="151"/>
      <c r="K32" s="151"/>
      <c r="L32" s="495"/>
      <c r="M32" s="151"/>
      <c r="N32" s="151"/>
      <c r="O32" s="151"/>
      <c r="P32" s="151"/>
      <c r="Q32" s="151"/>
      <c r="S32" s="556" t="s">
        <v>424</v>
      </c>
      <c r="T32" s="556"/>
      <c r="U32" s="557"/>
      <c r="V32" s="558" t="str">
        <f>IF(TITLE_NUMBER_PR_CHANGE="",IF(TITLE_NUMBER_PR="","",TITLE_NUMBER_PR),TITLE_NUMBER_PR_CHANGE)</f>
        <v>ПГ/01/950</v>
      </c>
      <c r="W32" s="558"/>
      <c r="X32" s="558"/>
      <c r="Y32" s="558"/>
      <c r="Z32" s="558"/>
      <c r="AA32" s="50"/>
      <c r="AB32" s="558" t="str">
        <f>IF(TITLE_NUMBER_PR_CHANGE="",IF(TITLE_NUMBER_PR="","",TITLE_NUMBER_PR),TITLE_NUMBER_PR_CHANGE)</f>
        <v>ПГ/01/950</v>
      </c>
      <c r="AC32" s="558"/>
      <c r="AD32" s="558"/>
      <c r="AE32" s="558"/>
      <c r="AF32" s="558"/>
      <c r="AG32" s="558"/>
      <c r="AH32" s="558"/>
      <c r="AI32" s="558"/>
      <c r="AJ32" s="558"/>
      <c r="AK32" s="558"/>
      <c r="AL32" s="558"/>
      <c r="AM32" s="558"/>
      <c r="AN32" s="558"/>
      <c r="AO32" s="558"/>
      <c r="AP32" s="558"/>
      <c r="AQ32" s="558"/>
      <c r="AR32" s="558"/>
      <c r="AS32" s="50"/>
      <c r="AT32" s="50"/>
      <c r="AU32" s="559"/>
      <c r="AV32" s="129"/>
      <c r="AW32" s="129"/>
      <c r="AX32" s="129"/>
      <c r="AY32" s="129"/>
      <c r="AZ32" s="129"/>
      <c r="BA32" s="184">
        <v>0</v>
      </c>
    </row>
    <row r="33" s="184" customFormat="1" ht="18.75" hidden="1" customHeight="1">
      <c r="A33" s="151"/>
      <c r="B33" s="151"/>
      <c r="C33" s="151"/>
      <c r="D33" s="151"/>
      <c r="E33" s="151"/>
      <c r="F33" s="151"/>
      <c r="G33" s="151"/>
      <c r="H33" s="151"/>
      <c r="I33" s="151"/>
      <c r="J33" s="151"/>
      <c r="K33" s="151"/>
      <c r="L33" s="495"/>
      <c r="M33" s="151"/>
      <c r="N33" s="151"/>
      <c r="O33" s="151"/>
      <c r="P33" s="151"/>
      <c r="Q33" s="151"/>
      <c r="S33" s="556" t="s">
        <v>43</v>
      </c>
      <c r="T33" s="556"/>
      <c r="U33" s="557"/>
      <c r="V33" s="558" t="str">
        <f>IF(TITLE_IST_PUB_CHANGE="",IF(TITLE_IST_PUB="","",TITLE_IST_PUB),TITLE_IST_PUB_CHANGE)</f>
        <v/>
      </c>
      <c r="W33" s="558"/>
      <c r="X33" s="558"/>
      <c r="Y33" s="558"/>
      <c r="Z33" s="558"/>
      <c r="AA33" s="50"/>
      <c r="AB33" s="558" t="str">
        <f>IF(TITLE_IST_PUB_CHANGE="",IF(TITLE_IST_PUB="","",TITLE_IST_PUB),TITLE_IST_PUB_CHANGE)</f>
        <v/>
      </c>
      <c r="AC33" s="558"/>
      <c r="AD33" s="558"/>
      <c r="AE33" s="558"/>
      <c r="AF33" s="558"/>
      <c r="AG33" s="558"/>
      <c r="AH33" s="558"/>
      <c r="AI33" s="558"/>
      <c r="AJ33" s="558"/>
      <c r="AK33" s="558"/>
      <c r="AL33" s="558"/>
      <c r="AM33" s="558"/>
      <c r="AN33" s="558"/>
      <c r="AO33" s="558"/>
      <c r="AP33" s="558"/>
      <c r="AQ33" s="558"/>
      <c r="AR33" s="558"/>
      <c r="AS33" s="50"/>
      <c r="AT33" s="50"/>
      <c r="AU33" s="559"/>
      <c r="AV33" s="129"/>
      <c r="AW33" s="129"/>
      <c r="AX33" s="129"/>
      <c r="AY33" s="129"/>
      <c r="AZ33" s="129"/>
      <c r="BA33" s="184">
        <v>0</v>
      </c>
    </row>
    <row r="34" ht="14.25" customHeight="1">
      <c r="Q34" s="672"/>
      <c r="R34" s="553"/>
      <c r="S34" s="554"/>
      <c r="T34" s="91"/>
      <c r="U34" s="91"/>
      <c r="V34" s="555"/>
      <c r="W34" s="555"/>
      <c r="X34" s="555"/>
      <c r="Y34" s="555"/>
      <c r="Z34" s="555"/>
      <c r="AA34" s="555"/>
      <c r="AB34" s="555"/>
      <c r="AC34" s="555"/>
      <c r="AD34" s="555"/>
      <c r="AE34" s="555"/>
      <c r="AF34" s="555"/>
      <c r="AG34" s="555"/>
      <c r="AH34" s="555"/>
      <c r="AI34" s="555"/>
      <c r="AJ34" s="555"/>
      <c r="AK34" s="555"/>
      <c r="AL34" s="555"/>
      <c r="AM34" s="555"/>
      <c r="AN34" s="555"/>
      <c r="AO34" s="555"/>
      <c r="AP34" s="555"/>
      <c r="AQ34" s="555"/>
      <c r="AR34" s="555"/>
      <c r="AS34" s="555"/>
      <c r="AT34" s="50"/>
      <c r="BA34" s="50">
        <v>0</v>
      </c>
    </row>
    <row r="35" s="184" customFormat="1" ht="18.75" customHeight="1">
      <c r="A35" s="151"/>
      <c r="B35" s="151"/>
      <c r="C35" s="151"/>
      <c r="D35" s="151"/>
      <c r="E35" s="151"/>
      <c r="F35" s="151"/>
      <c r="G35" s="151"/>
      <c r="H35" s="151"/>
      <c r="I35" s="151"/>
      <c r="J35" s="151"/>
      <c r="K35" s="151"/>
      <c r="L35" s="495"/>
      <c r="M35" s="151"/>
      <c r="N35" s="151"/>
      <c r="O35" s="151"/>
      <c r="P35" s="151"/>
      <c r="Q35" s="151"/>
      <c r="S35" s="556" t="s">
        <v>423</v>
      </c>
      <c r="T35" s="556"/>
      <c r="U35" s="557"/>
      <c r="V35" s="560" t="str">
        <f>IF(TITLE_DATE_PR_CHANGE="",IF(TITLE_DATE_PR="","",TITLE_DATE_PR),TITLE_DATE_PR_CHANGE)</f>
        <v>45406</v>
      </c>
      <c r="W35" s="560"/>
      <c r="X35" s="560"/>
      <c r="Y35" s="560"/>
      <c r="Z35" s="560"/>
      <c r="AA35" s="50"/>
      <c r="AB35" s="560" t="str">
        <f>IF(TITLE_DATE_PR_CHANGE="",IF(TITLE_DATE_PR="","",TITLE_DATE_PR),TITLE_DATE_PR_CHANGE)</f>
        <v>45406</v>
      </c>
      <c r="AC35" s="560"/>
      <c r="AD35" s="560"/>
      <c r="AE35" s="560"/>
      <c r="AF35" s="560"/>
      <c r="AG35" s="560"/>
      <c r="AH35" s="560"/>
      <c r="AI35" s="560"/>
      <c r="AJ35" s="560"/>
      <c r="AK35" s="560"/>
      <c r="AL35" s="560"/>
      <c r="AM35" s="560"/>
      <c r="AN35" s="560"/>
      <c r="AO35" s="560"/>
      <c r="AP35" s="560"/>
      <c r="AQ35" s="560"/>
      <c r="AR35" s="560"/>
      <c r="AS35" s="50"/>
      <c r="AT35" s="50"/>
      <c r="AU35" s="559"/>
      <c r="AV35" s="129"/>
      <c r="AW35" s="129"/>
      <c r="AX35" s="129"/>
      <c r="AY35" s="129"/>
      <c r="AZ35" s="129"/>
      <c r="BA35" s="184">
        <v>0</v>
      </c>
    </row>
    <row r="36" s="184" customFormat="1" ht="18" customHeight="1">
      <c r="A36" s="151"/>
      <c r="B36" s="151"/>
      <c r="C36" s="151"/>
      <c r="D36" s="151"/>
      <c r="E36" s="151"/>
      <c r="F36" s="151"/>
      <c r="G36" s="151"/>
      <c r="H36" s="151"/>
      <c r="I36" s="151"/>
      <c r="J36" s="151"/>
      <c r="K36" s="151"/>
      <c r="L36" s="495"/>
      <c r="M36" s="151"/>
      <c r="N36" s="151"/>
      <c r="O36" s="151"/>
      <c r="P36" s="151"/>
      <c r="Q36" s="151"/>
      <c r="S36" s="556" t="s">
        <v>424</v>
      </c>
      <c r="T36" s="556"/>
      <c r="U36" s="557"/>
      <c r="V36" s="558" t="str">
        <f>IF(TITLE_NUMBER_PR_CHANGE="",IF(TITLE_NUMBER_PR="","",TITLE_NUMBER_PR),TITLE_NUMBER_PR_CHANGE)</f>
        <v>ПГ/01/950</v>
      </c>
      <c r="W36" s="558"/>
      <c r="X36" s="558"/>
      <c r="Y36" s="558"/>
      <c r="Z36" s="558"/>
      <c r="AA36" s="50"/>
      <c r="AB36" s="558" t="str">
        <f>IF(TITLE_NUMBER_PR_CHANGE="",IF(TITLE_NUMBER_PR="","",TITLE_NUMBER_PR),TITLE_NUMBER_PR_CHANGE)</f>
        <v>ПГ/01/950</v>
      </c>
      <c r="AC36" s="558"/>
      <c r="AD36" s="558"/>
      <c r="AE36" s="558"/>
      <c r="AF36" s="558"/>
      <c r="AG36" s="558"/>
      <c r="AH36" s="558"/>
      <c r="AI36" s="558"/>
      <c r="AJ36" s="558"/>
      <c r="AK36" s="558"/>
      <c r="AL36" s="558"/>
      <c r="AM36" s="558"/>
      <c r="AN36" s="558"/>
      <c r="AO36" s="558"/>
      <c r="AP36" s="558"/>
      <c r="AQ36" s="558"/>
      <c r="AR36" s="558"/>
      <c r="AS36" s="50"/>
      <c r="AT36" s="50"/>
      <c r="AU36" s="559"/>
      <c r="AV36" s="129"/>
      <c r="AW36" s="129"/>
      <c r="AX36" s="129"/>
      <c r="AY36" s="129"/>
      <c r="AZ36" s="129"/>
      <c r="BA36" s="184">
        <v>0</v>
      </c>
    </row>
    <row r="37" s="184" customFormat="1" ht="1.05" customHeight="1">
      <c r="A37" s="151"/>
      <c r="B37" s="151"/>
      <c r="C37" s="151"/>
      <c r="D37" s="151"/>
      <c r="E37" s="151"/>
      <c r="F37" s="151"/>
      <c r="G37" s="151"/>
      <c r="H37" s="151"/>
      <c r="I37" s="151"/>
      <c r="J37" s="151"/>
      <c r="K37" s="151"/>
      <c r="L37" s="495"/>
      <c r="M37" s="151"/>
      <c r="N37" s="151"/>
      <c r="O37" s="151"/>
      <c r="P37" s="151"/>
      <c r="Q37" s="151"/>
      <c r="S37" s="50"/>
      <c r="T37" s="50"/>
      <c r="U37" s="140"/>
      <c r="V37" s="50"/>
      <c r="W37" s="50"/>
      <c r="X37" s="50"/>
      <c r="Y37" s="50"/>
      <c r="Z37" s="50"/>
      <c r="AA37" s="57" t="s">
        <v>427</v>
      </c>
      <c r="AB37" s="50"/>
      <c r="AC37" s="50"/>
      <c r="AD37" s="50"/>
      <c r="AE37" s="50"/>
      <c r="AF37" s="50"/>
      <c r="AG37" s="50"/>
      <c r="AH37" s="50"/>
      <c r="AI37" s="50"/>
      <c r="AJ37" s="50"/>
      <c r="AK37" s="50"/>
      <c r="AL37" s="50"/>
      <c r="AM37" s="50"/>
      <c r="AN37" s="50"/>
      <c r="AO37" s="50"/>
      <c r="AP37" s="50"/>
      <c r="AQ37" s="50"/>
      <c r="AR37" s="50"/>
      <c r="AS37" s="57" t="s">
        <v>427</v>
      </c>
      <c r="AV37" s="129"/>
      <c r="AW37" s="129"/>
      <c r="AX37" s="129"/>
      <c r="AY37" s="129"/>
      <c r="AZ37" s="129"/>
      <c r="BA37" s="184">
        <v>1</v>
      </c>
    </row>
    <row r="38" ht="14.65" customHeight="1">
      <c r="Q38" s="672"/>
      <c r="R38" s="553"/>
      <c r="S38" s="554"/>
      <c r="T38" s="91"/>
      <c r="U38" s="561"/>
      <c r="V38" s="562"/>
      <c r="W38" s="562"/>
      <c r="X38" s="562"/>
      <c r="Y38" s="562"/>
      <c r="Z38" s="562"/>
      <c r="AA38" s="562"/>
      <c r="AB38" s="562"/>
      <c r="AC38" s="562"/>
      <c r="AD38" s="562"/>
      <c r="AE38" s="562"/>
      <c r="AF38" s="562"/>
      <c r="AG38" s="562"/>
      <c r="AH38" s="562"/>
      <c r="AI38" s="562"/>
      <c r="AJ38" s="562"/>
      <c r="AK38" s="562"/>
      <c r="AL38" s="562"/>
      <c r="AM38" s="562"/>
      <c r="AN38" s="562"/>
      <c r="AO38" s="562"/>
      <c r="AP38" s="562"/>
      <c r="AQ38" s="562"/>
      <c r="AR38" s="562"/>
      <c r="AS38" s="562"/>
      <c r="BA38" s="50">
        <v>14</v>
      </c>
    </row>
    <row r="39" ht="14.65" customHeight="1">
      <c r="Q39" s="672"/>
      <c r="R39" s="553"/>
      <c r="S39" s="157" t="s">
        <v>302</v>
      </c>
      <c r="T39" s="157"/>
      <c r="U39" s="157"/>
      <c r="V39" s="157"/>
      <c r="W39" s="157"/>
      <c r="X39" s="157"/>
      <c r="Y39" s="157"/>
      <c r="Z39" s="157"/>
      <c r="AA39" s="157"/>
      <c r="AB39" s="324"/>
      <c r="AC39" s="324"/>
      <c r="AD39" s="324"/>
      <c r="AE39" s="324"/>
      <c r="AF39" s="157"/>
      <c r="AG39" s="157"/>
      <c r="AH39" s="157"/>
      <c r="AI39" s="157"/>
      <c r="AJ39" s="157"/>
      <c r="AK39" s="157"/>
      <c r="AL39" s="157"/>
      <c r="AM39" s="157"/>
      <c r="AN39" s="157"/>
      <c r="AO39" s="157"/>
      <c r="AP39" s="157"/>
      <c r="AQ39" s="157"/>
      <c r="AR39" s="157"/>
      <c r="AS39" s="157"/>
      <c r="AT39" s="157"/>
      <c r="AU39" s="157" t="s">
        <v>303</v>
      </c>
      <c r="BA39" s="50">
        <v>14</v>
      </c>
    </row>
    <row r="40" ht="14.65" customHeight="1">
      <c r="Q40" s="672"/>
      <c r="R40" s="553"/>
      <c r="S40" s="498" t="s">
        <v>88</v>
      </c>
      <c r="T40" s="362" t="s">
        <v>472</v>
      </c>
      <c r="U40" s="563"/>
      <c r="V40" s="565"/>
      <c r="W40" s="565"/>
      <c r="X40" s="565"/>
      <c r="Y40" s="565"/>
      <c r="Z40" s="566"/>
      <c r="AA40" s="673" t="s">
        <v>430</v>
      </c>
      <c r="AB40" s="674" t="s">
        <v>473</v>
      </c>
      <c r="AC40" s="598"/>
      <c r="AD40" s="598"/>
      <c r="AE40" s="675"/>
      <c r="AF40" s="598" t="s">
        <v>474</v>
      </c>
      <c r="AG40" s="598"/>
      <c r="AH40" s="598"/>
      <c r="AI40" s="675"/>
      <c r="AJ40" s="674" t="s">
        <v>475</v>
      </c>
      <c r="AK40" s="598"/>
      <c r="AL40" s="598"/>
      <c r="AM40" s="675"/>
      <c r="AN40" s="674" t="s">
        <v>429</v>
      </c>
      <c r="AO40" s="598"/>
      <c r="AP40" s="565"/>
      <c r="AQ40" s="565"/>
      <c r="AR40" s="566"/>
      <c r="AS40" s="567" t="s">
        <v>430</v>
      </c>
      <c r="AT40" s="568" t="s">
        <v>432</v>
      </c>
      <c r="AU40" s="157"/>
      <c r="BA40" s="50">
        <v>14</v>
      </c>
    </row>
    <row r="41" ht="35.649999999999999" customHeight="1">
      <c r="Q41" s="672"/>
      <c r="R41" s="553"/>
      <c r="S41" s="498"/>
      <c r="T41" s="362"/>
      <c r="U41" s="569"/>
      <c r="V41" s="157" t="s">
        <v>476</v>
      </c>
      <c r="W41" s="157"/>
      <c r="X41" s="321" t="s">
        <v>436</v>
      </c>
      <c r="Y41" s="640"/>
      <c r="Z41" s="322"/>
      <c r="AA41" s="676"/>
      <c r="AB41" s="677"/>
      <c r="AC41" s="678"/>
      <c r="AD41" s="678"/>
      <c r="AE41" s="679"/>
      <c r="AF41" s="678"/>
      <c r="AG41" s="678"/>
      <c r="AH41" s="678"/>
      <c r="AI41" s="679"/>
      <c r="AJ41" s="677"/>
      <c r="AK41" s="678"/>
      <c r="AL41" s="678"/>
      <c r="AM41" s="678"/>
      <c r="AN41" s="157" t="s">
        <v>476</v>
      </c>
      <c r="AO41" s="157"/>
      <c r="AP41" s="640" t="s">
        <v>436</v>
      </c>
      <c r="AQ41" s="640"/>
      <c r="AR41" s="322"/>
      <c r="AS41" s="571"/>
      <c r="AT41" s="572"/>
      <c r="AU41" s="157"/>
      <c r="BA41" s="50">
        <v>34</v>
      </c>
    </row>
    <row r="42" ht="14.65" customHeight="1">
      <c r="Q42" s="672"/>
      <c r="R42" s="553"/>
      <c r="S42" s="498"/>
      <c r="T42" s="362"/>
      <c r="U42" s="569"/>
      <c r="V42" s="680" t="str">
        <f>IF($AN$42&lt;&gt;"",$AN$42,"")</f>
        <v/>
      </c>
      <c r="W42" s="680"/>
      <c r="X42" s="327"/>
      <c r="Y42" s="641"/>
      <c r="Z42" s="328"/>
      <c r="AA42" s="676"/>
      <c r="AB42" s="677"/>
      <c r="AC42" s="678"/>
      <c r="AD42" s="678"/>
      <c r="AE42" s="679"/>
      <c r="AF42" s="678"/>
      <c r="AG42" s="678"/>
      <c r="AH42" s="678"/>
      <c r="AI42" s="679"/>
      <c r="AJ42" s="677"/>
      <c r="AK42" s="678"/>
      <c r="AL42" s="678"/>
      <c r="AM42" s="678"/>
      <c r="AN42" s="681"/>
      <c r="AO42" s="681"/>
      <c r="AP42" s="641"/>
      <c r="AQ42" s="641"/>
      <c r="AR42" s="328"/>
      <c r="AS42" s="571"/>
      <c r="AT42" s="572"/>
      <c r="AU42" s="157"/>
      <c r="BA42" s="50">
        <v>14</v>
      </c>
    </row>
    <row r="43" ht="14.65" customHeight="1">
      <c r="A43" s="151"/>
      <c r="B43" s="151" t="s">
        <v>135</v>
      </c>
      <c r="C43" s="151" t="s">
        <v>136</v>
      </c>
      <c r="D43" s="151" t="s">
        <v>137</v>
      </c>
      <c r="E43" s="495" t="s">
        <v>437</v>
      </c>
      <c r="F43" s="495" t="s">
        <v>438</v>
      </c>
      <c r="G43" s="495" t="s">
        <v>439</v>
      </c>
      <c r="H43" s="495" t="s">
        <v>440</v>
      </c>
      <c r="I43" s="495" t="s">
        <v>441</v>
      </c>
      <c r="J43" s="495" t="s">
        <v>442</v>
      </c>
      <c r="K43" s="495" t="s">
        <v>443</v>
      </c>
      <c r="L43" s="495" t="s">
        <v>418</v>
      </c>
      <c r="Q43" s="672"/>
      <c r="R43" s="553"/>
      <c r="S43" s="498"/>
      <c r="T43" s="362"/>
      <c r="U43" s="573"/>
      <c r="V43" s="362" t="s">
        <v>477</v>
      </c>
      <c r="W43" s="362" t="s">
        <v>478</v>
      </c>
      <c r="X43" s="246" t="s">
        <v>446</v>
      </c>
      <c r="Y43" s="429" t="s">
        <v>447</v>
      </c>
      <c r="Z43" s="431"/>
      <c r="AA43" s="682"/>
      <c r="AB43" s="683"/>
      <c r="AC43" s="684"/>
      <c r="AD43" s="684"/>
      <c r="AE43" s="685"/>
      <c r="AF43" s="684"/>
      <c r="AG43" s="684"/>
      <c r="AH43" s="684"/>
      <c r="AI43" s="685"/>
      <c r="AJ43" s="683"/>
      <c r="AK43" s="684"/>
      <c r="AL43" s="684"/>
      <c r="AM43" s="685"/>
      <c r="AN43" s="575" t="s">
        <v>477</v>
      </c>
      <c r="AO43" s="575" t="s">
        <v>478</v>
      </c>
      <c r="AP43" s="246" t="s">
        <v>446</v>
      </c>
      <c r="AQ43" s="429" t="s">
        <v>447</v>
      </c>
      <c r="AR43" s="431"/>
      <c r="AS43" s="575"/>
      <c r="AT43" s="576"/>
      <c r="AU43" s="157"/>
      <c r="BA43" s="50">
        <v>14</v>
      </c>
    </row>
    <row r="44" s="131" customFormat="1" ht="11.25" hidden="1" customHeight="1">
      <c r="A44" s="151"/>
      <c r="B44" s="151"/>
      <c r="C44" s="151"/>
      <c r="D44" s="151"/>
      <c r="E44" s="151"/>
      <c r="F44" s="151"/>
      <c r="G44" s="151"/>
      <c r="H44" s="151"/>
      <c r="I44" s="151"/>
      <c r="J44" s="151"/>
      <c r="K44" s="151"/>
      <c r="L44" s="495"/>
      <c r="M44" s="61"/>
      <c r="N44" s="61"/>
      <c r="O44" s="61"/>
      <c r="P44" s="610"/>
      <c r="Q44" s="579"/>
      <c r="R44" s="579">
        <v>1</v>
      </c>
      <c r="S44" s="580" t="s">
        <v>109</v>
      </c>
      <c r="T44" s="581" t="s">
        <v>110</v>
      </c>
      <c r="U44" s="582" t="str">
        <f ca="1">OFFSET(U44,0,-1)</f>
        <v>2</v>
      </c>
      <c r="V44" s="583">
        <f ca="1">OFFSET(V44,0,-1)+1</f>
        <v>3</v>
      </c>
      <c r="W44" s="583">
        <f ca="1">OFFSET(W44,0,-1)+1</f>
        <v>4</v>
      </c>
      <c r="X44" s="583">
        <f ca="1">OFFSET(X44,0,-1)+1</f>
        <v>5</v>
      </c>
      <c r="Y44" s="583">
        <f ca="1">OFFSET(Y44,0,-1)+1</f>
        <v>6</v>
      </c>
      <c r="Z44" s="583"/>
      <c r="AA44" s="583">
        <f ca="1">OFFSET(AA44,0,-2)+1</f>
        <v>7</v>
      </c>
      <c r="AB44" s="440">
        <f ca="1">OFFSET(AB44,0,-1)+1</f>
        <v>8</v>
      </c>
      <c r="AC44" s="440"/>
      <c r="AD44" s="440"/>
      <c r="AE44" s="440"/>
      <c r="AF44" s="583"/>
      <c r="AG44" s="583"/>
      <c r="AH44" s="583"/>
      <c r="AI44" s="583"/>
      <c r="AJ44" s="583"/>
      <c r="AK44" s="583"/>
      <c r="AL44" s="583"/>
      <c r="AM44" s="583"/>
      <c r="AN44" s="583">
        <f ca="1">OFFSET(AN44,0,-1)+1</f>
        <v>1</v>
      </c>
      <c r="AO44" s="583">
        <f ca="1">OFFSET(AO44,0,-1)+1</f>
        <v>2</v>
      </c>
      <c r="AP44" s="583">
        <f ca="1">OFFSET(AP44,0,-1)+1</f>
        <v>3</v>
      </c>
      <c r="AQ44" s="583">
        <f ca="1">OFFSET(AQ44,0,-1)+1</f>
        <v>4</v>
      </c>
      <c r="AR44" s="583"/>
      <c r="AS44" s="583">
        <f ca="1">OFFSET(AS44,0,-2)+1</f>
        <v>5</v>
      </c>
      <c r="AT44" s="582">
        <f ca="1">OFFSET(AT44,0,-1)</f>
        <v>5</v>
      </c>
      <c r="AU44" s="583">
        <f ca="1">OFFSET(AU44,0,-1)+1</f>
        <v>6</v>
      </c>
      <c r="AV44" s="57"/>
      <c r="AW44" s="57"/>
      <c r="AX44" s="57"/>
      <c r="AY44" s="57"/>
      <c r="AZ44" s="57"/>
      <c r="BA44" s="131">
        <v>0</v>
      </c>
    </row>
    <row r="45" ht="107.25" customHeight="1">
      <c r="A45" s="493" t="s">
        <v>197</v>
      </c>
      <c r="B45" s="493"/>
      <c r="C45" s="493"/>
      <c r="D45" s="493"/>
      <c r="E45" s="494">
        <v>1</v>
      </c>
      <c r="F45" s="493"/>
      <c r="G45" s="493"/>
      <c r="H45" s="493"/>
      <c r="I45" s="493"/>
      <c r="J45" s="493"/>
      <c r="K45" s="493"/>
      <c r="L45" s="495"/>
      <c r="M45" s="496"/>
      <c r="N45" s="496"/>
      <c r="O45" s="496"/>
      <c r="P45" s="61"/>
      <c r="Q45" s="64"/>
      <c r="R45" s="497"/>
      <c r="S45" s="498">
        <f>INDEX(PT_DIFFERENTIATION_NUM_NTAR,MATCH(A45,PT_DIFFERENTIATION_NTAR_ID,0))</f>
        <v>0</v>
      </c>
      <c r="T45" s="499" t="s">
        <v>123</v>
      </c>
      <c r="U45" s="500"/>
      <c r="V45" s="502"/>
      <c r="W45" s="502"/>
      <c r="X45" s="502"/>
      <c r="Y45" s="502"/>
      <c r="Z45" s="502"/>
      <c r="AA45" s="503"/>
      <c r="AB45" s="501" t="str">
        <f>INDEX(PT_DIFFERENTIATION_NTAR,MATCH(A45,PT_DIFFERENTIATION_NTAR_ID,0))</f>
        <v/>
      </c>
      <c r="AC45" s="502"/>
      <c r="AD45" s="502"/>
      <c r="AE45" s="502"/>
      <c r="AF45" s="502"/>
      <c r="AG45" s="502"/>
      <c r="AH45" s="502"/>
      <c r="AI45" s="502"/>
      <c r="AJ45" s="502"/>
      <c r="AK45" s="502"/>
      <c r="AL45" s="502"/>
      <c r="AM45" s="502"/>
      <c r="AN45" s="502"/>
      <c r="AO45" s="502"/>
      <c r="AP45" s="502"/>
      <c r="AQ45" s="502"/>
      <c r="AR45" s="502"/>
      <c r="AS45" s="502"/>
      <c r="AT45" s="503"/>
      <c r="AU45" s="5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29"/>
      <c r="AX45" s="129" t="str">
        <f t="shared" si="22"/>
        <v xml:space="preserve">Наименование тарифа</v>
      </c>
      <c r="AY45" s="129"/>
      <c r="AZ45" s="129"/>
      <c r="BA45" s="50">
        <v>102</v>
      </c>
    </row>
    <row r="46" ht="22" customHeight="1">
      <c r="A46" s="493" t="s">
        <v>197</v>
      </c>
      <c r="B46" s="493" t="s">
        <v>198</v>
      </c>
      <c r="C46" s="493"/>
      <c r="D46" s="493"/>
      <c r="E46" s="505"/>
      <c r="F46" s="494">
        <v>1</v>
      </c>
      <c r="G46" s="493"/>
      <c r="H46" s="493"/>
      <c r="I46" s="493"/>
      <c r="J46" s="493"/>
      <c r="K46" s="493"/>
      <c r="L46" s="495"/>
      <c r="M46" s="496"/>
      <c r="N46" s="496"/>
      <c r="O46" s="496"/>
      <c r="P46" s="113"/>
      <c r="Q46" s="643"/>
      <c r="R46" s="507"/>
      <c r="S46" s="498" t="str">
        <f>INDEX(PT_DIFFERENTIATION_NUM_TER,MATCH(B46,PT_DIFFERENTIATION_TER_ID,0))</f>
        <v>.</v>
      </c>
      <c r="T46" s="508" t="s">
        <v>399</v>
      </c>
      <c r="U46" s="500"/>
      <c r="V46" s="502"/>
      <c r="W46" s="502"/>
      <c r="X46" s="502"/>
      <c r="Y46" s="502"/>
      <c r="Z46" s="502"/>
      <c r="AA46" s="503"/>
      <c r="AB46" s="501" t="str">
        <f>INDEX(PT_DIFFERENTIATION_TER,MATCH(B46,PT_DIFFERENTIATION_TER_ID,0))</f>
        <v/>
      </c>
      <c r="AC46" s="502"/>
      <c r="AD46" s="502"/>
      <c r="AE46" s="502"/>
      <c r="AF46" s="502"/>
      <c r="AG46" s="502"/>
      <c r="AH46" s="502"/>
      <c r="AI46" s="502"/>
      <c r="AJ46" s="502"/>
      <c r="AK46" s="502"/>
      <c r="AL46" s="502"/>
      <c r="AM46" s="502"/>
      <c r="AN46" s="502"/>
      <c r="AO46" s="502"/>
      <c r="AP46" s="502"/>
      <c r="AQ46" s="502"/>
      <c r="AR46" s="502"/>
      <c r="AS46" s="502"/>
      <c r="AT46" s="503"/>
      <c r="AU46" s="504" t="s">
        <v>400</v>
      </c>
      <c r="AW46" s="129"/>
      <c r="AX46" s="129" t="str">
        <f t="shared" si="22"/>
        <v xml:space="preserve">Территория действия тарифа</v>
      </c>
      <c r="AY46" s="129"/>
      <c r="AZ46" s="129"/>
      <c r="BA46" s="50">
        <v>21</v>
      </c>
    </row>
    <row r="47" ht="24" customHeight="1">
      <c r="A47" s="493" t="s">
        <v>197</v>
      </c>
      <c r="B47" s="493" t="s">
        <v>198</v>
      </c>
      <c r="C47" s="493" t="s">
        <v>199</v>
      </c>
      <c r="D47" s="493"/>
      <c r="E47" s="505"/>
      <c r="F47" s="505"/>
      <c r="G47" s="494">
        <v>1</v>
      </c>
      <c r="H47" s="493"/>
      <c r="I47" s="493"/>
      <c r="J47" s="493"/>
      <c r="K47" s="493"/>
      <c r="L47" s="495"/>
      <c r="M47" s="496"/>
      <c r="N47" s="496"/>
      <c r="O47" s="496"/>
      <c r="P47" s="135"/>
      <c r="Q47" s="643"/>
      <c r="R47" s="507"/>
      <c r="S47" s="498" t="str">
        <f>INDEX(PT_DIFFERENTIATION_NUM_CS,MATCH(C47,PT_DIFFERENTIATION_CS_ID,0))</f>
        <v>..</v>
      </c>
      <c r="T47" s="510" t="s">
        <v>401</v>
      </c>
      <c r="U47" s="500"/>
      <c r="V47" s="502"/>
      <c r="W47" s="502"/>
      <c r="X47" s="502"/>
      <c r="Y47" s="502"/>
      <c r="Z47" s="502"/>
      <c r="AA47" s="503"/>
      <c r="AB47" s="501" t="str">
        <f>INDEX(PT_DIFFERENTIATION_CS,MATCH(C47,PT_DIFFERENTIATION_CS_ID,0))</f>
        <v/>
      </c>
      <c r="AC47" s="502"/>
      <c r="AD47" s="502"/>
      <c r="AE47" s="502"/>
      <c r="AF47" s="502"/>
      <c r="AG47" s="502"/>
      <c r="AH47" s="502"/>
      <c r="AI47" s="502"/>
      <c r="AJ47" s="502"/>
      <c r="AK47" s="502"/>
      <c r="AL47" s="502"/>
      <c r="AM47" s="502"/>
      <c r="AN47" s="502"/>
      <c r="AO47" s="502"/>
      <c r="AP47" s="502"/>
      <c r="AQ47" s="502"/>
      <c r="AR47" s="502"/>
      <c r="AS47" s="502"/>
      <c r="AT47" s="503"/>
      <c r="AU47" s="504" t="s">
        <v>402</v>
      </c>
      <c r="AW47" s="129"/>
      <c r="AX47" s="129" t="str">
        <f t="shared" si="22"/>
        <v xml:space="preserve">Наименование системы теплоснабжения</v>
      </c>
      <c r="AY47" s="129"/>
      <c r="AZ47" s="129"/>
      <c r="BA47" s="50">
        <v>23</v>
      </c>
    </row>
    <row r="48" ht="21" customHeight="1">
      <c r="A48" s="493" t="s">
        <v>197</v>
      </c>
      <c r="B48" s="493" t="s">
        <v>198</v>
      </c>
      <c r="C48" s="493" t="s">
        <v>199</v>
      </c>
      <c r="D48" s="493" t="s">
        <v>200</v>
      </c>
      <c r="E48" s="505"/>
      <c r="F48" s="505"/>
      <c r="G48" s="505"/>
      <c r="H48" s="494">
        <v>1</v>
      </c>
      <c r="I48" s="493"/>
      <c r="J48" s="493"/>
      <c r="K48" s="493"/>
      <c r="L48" s="495"/>
      <c r="M48" s="496"/>
      <c r="N48" s="496"/>
      <c r="O48" s="496"/>
      <c r="P48" s="135"/>
      <c r="Q48" s="643"/>
      <c r="R48" s="507"/>
      <c r="S48" s="498" t="str">
        <f>INDEX(PT_DIFFERENTIATION_NUM_IST_TE,MATCH(D48,PT_DIFFERENTIATION_IST_TE_ID,0))</f>
        <v>...</v>
      </c>
      <c r="T48" s="511" t="s">
        <v>403</v>
      </c>
      <c r="U48" s="500"/>
      <c r="V48" s="502"/>
      <c r="W48" s="502"/>
      <c r="X48" s="502"/>
      <c r="Y48" s="502"/>
      <c r="Z48" s="502"/>
      <c r="AA48" s="503"/>
      <c r="AB48" s="501" t="str">
        <f>INDEX(PT_DIFFERENTIATION_IST_TE,MATCH(D48,PT_DIFFERENTIATION_IST_TE_ID,0))</f>
        <v/>
      </c>
      <c r="AC48" s="502"/>
      <c r="AD48" s="502"/>
      <c r="AE48" s="502"/>
      <c r="AF48" s="502"/>
      <c r="AG48" s="502"/>
      <c r="AH48" s="502"/>
      <c r="AI48" s="502"/>
      <c r="AJ48" s="502"/>
      <c r="AK48" s="502"/>
      <c r="AL48" s="502"/>
      <c r="AM48" s="502"/>
      <c r="AN48" s="502"/>
      <c r="AO48" s="502"/>
      <c r="AP48" s="502"/>
      <c r="AQ48" s="502"/>
      <c r="AR48" s="502"/>
      <c r="AS48" s="502"/>
      <c r="AT48" s="503"/>
      <c r="AU48" s="504" t="s">
        <v>404</v>
      </c>
      <c r="AW48" s="129"/>
      <c r="AX48" s="129" t="str">
        <f t="shared" si="22"/>
        <v xml:space="preserve">Источник тепловой энергии</v>
      </c>
      <c r="AY48" s="129"/>
      <c r="AZ48" s="129"/>
      <c r="BA48" s="50">
        <v>20</v>
      </c>
    </row>
    <row r="49" s="57" customFormat="1" ht="1.05" customHeight="1">
      <c r="A49" s="133" t="s">
        <v>197</v>
      </c>
      <c r="B49" s="133" t="s">
        <v>198</v>
      </c>
      <c r="C49" s="133" t="s">
        <v>199</v>
      </c>
      <c r="D49" s="133" t="s">
        <v>200</v>
      </c>
      <c r="E49" s="505"/>
      <c r="F49" s="505"/>
      <c r="G49" s="505"/>
      <c r="H49" s="505"/>
      <c r="I49" s="512" t="str">
        <f>S48&amp;".1"</f>
        <v>....1</v>
      </c>
      <c r="J49" s="133"/>
      <c r="K49" s="133"/>
      <c r="L49" s="212" t="s">
        <v>405</v>
      </c>
      <c r="M49" s="610"/>
      <c r="N49" s="610"/>
      <c r="O49" s="610"/>
      <c r="P49" s="132">
        <v>1</v>
      </c>
      <c r="Q49" s="132"/>
      <c r="R49" s="513"/>
      <c r="S49" s="366"/>
      <c r="T49" s="600"/>
      <c r="U49" s="601"/>
      <c r="V49" s="603"/>
      <c r="W49" s="603"/>
      <c r="X49" s="603"/>
      <c r="Y49" s="603"/>
      <c r="Z49" s="603"/>
      <c r="AA49" s="604"/>
      <c r="AB49" s="602"/>
      <c r="AC49" s="603"/>
      <c r="AD49" s="603"/>
      <c r="AE49" s="603"/>
      <c r="AF49" s="603"/>
      <c r="AG49" s="603"/>
      <c r="AH49" s="603"/>
      <c r="AI49" s="603"/>
      <c r="AJ49" s="603"/>
      <c r="AK49" s="603"/>
      <c r="AL49" s="603"/>
      <c r="AM49" s="603"/>
      <c r="AN49" s="603"/>
      <c r="AO49" s="603"/>
      <c r="AP49" s="603"/>
      <c r="AQ49" s="603"/>
      <c r="AR49" s="603"/>
      <c r="AS49" s="603"/>
      <c r="AT49" s="604"/>
      <c r="AU49" s="605"/>
      <c r="AW49" s="129"/>
      <c r="AX49" s="129" t="str">
        <f t="shared" si="22"/>
        <v/>
      </c>
      <c r="AY49" s="129"/>
      <c r="AZ49" s="129"/>
      <c r="BA49" s="57">
        <v>1</v>
      </c>
    </row>
    <row r="50" s="57" customFormat="1" ht="1.05" customHeight="1">
      <c r="A50" s="133" t="s">
        <v>197</v>
      </c>
      <c r="B50" s="133" t="s">
        <v>198</v>
      </c>
      <c r="C50" s="133" t="s">
        <v>199</v>
      </c>
      <c r="D50" s="133" t="s">
        <v>200</v>
      </c>
      <c r="E50" s="505"/>
      <c r="F50" s="505"/>
      <c r="G50" s="505"/>
      <c r="H50" s="505"/>
      <c r="I50" s="517"/>
      <c r="J50" s="512" t="str">
        <f>S48&amp;".1"</f>
        <v>....1</v>
      </c>
      <c r="K50" s="133"/>
      <c r="L50" s="212"/>
      <c r="M50" s="610"/>
      <c r="N50" s="610"/>
      <c r="O50" s="610"/>
      <c r="P50" s="132"/>
      <c r="Q50" s="132">
        <v>1</v>
      </c>
      <c r="R50" s="518"/>
      <c r="S50" s="366"/>
      <c r="T50" s="644"/>
      <c r="U50" s="601"/>
      <c r="V50" s="603"/>
      <c r="W50" s="603"/>
      <c r="X50" s="603"/>
      <c r="Y50" s="603"/>
      <c r="Z50" s="603"/>
      <c r="AA50" s="604"/>
      <c r="AB50" s="602"/>
      <c r="AC50" s="603"/>
      <c r="AD50" s="603"/>
      <c r="AE50" s="603"/>
      <c r="AF50" s="603"/>
      <c r="AG50" s="603"/>
      <c r="AH50" s="603"/>
      <c r="AI50" s="603"/>
      <c r="AJ50" s="603"/>
      <c r="AK50" s="603"/>
      <c r="AL50" s="603"/>
      <c r="AM50" s="603"/>
      <c r="AN50" s="603"/>
      <c r="AO50" s="603"/>
      <c r="AP50" s="603"/>
      <c r="AQ50" s="603"/>
      <c r="AR50" s="603"/>
      <c r="AS50" s="603"/>
      <c r="AT50" s="604"/>
      <c r="AU50" s="605"/>
      <c r="AW50" s="129"/>
      <c r="AX50" s="129" t="str">
        <f t="shared" si="22"/>
        <v/>
      </c>
      <c r="AY50" s="129"/>
      <c r="AZ50" s="129"/>
      <c r="BA50" s="57">
        <v>1</v>
      </c>
    </row>
    <row r="51" ht="22" customHeight="1">
      <c r="A51" s="493" t="s">
        <v>197</v>
      </c>
      <c r="B51" s="493" t="s">
        <v>198</v>
      </c>
      <c r="C51" s="493" t="s">
        <v>199</v>
      </c>
      <c r="D51" s="493" t="s">
        <v>200</v>
      </c>
      <c r="E51" s="505"/>
      <c r="F51" s="505"/>
      <c r="G51" s="505"/>
      <c r="H51" s="505"/>
      <c r="I51" s="517"/>
      <c r="J51" s="517"/>
      <c r="K51" s="512" t="str">
        <f>S48&amp;".1"</f>
        <v>....1</v>
      </c>
      <c r="L51" s="495"/>
      <c r="P51" s="132"/>
      <c r="Q51" s="132"/>
      <c r="R51" s="518">
        <v>1</v>
      </c>
      <c r="S51" s="612" t="str">
        <f>$K51</f>
        <v>....1</v>
      </c>
      <c r="T51" s="646"/>
      <c r="U51" s="500"/>
      <c r="V51" s="521"/>
      <c r="W51" s="523"/>
      <c r="X51" s="524"/>
      <c r="Y51" s="224" t="s">
        <v>66</v>
      </c>
      <c r="Z51" s="524"/>
      <c r="AA51" s="224" t="s">
        <v>66</v>
      </c>
      <c r="AB51" s="224" t="s">
        <v>19</v>
      </c>
      <c r="AC51" s="647"/>
      <c r="AD51" s="360">
        <v>1</v>
      </c>
      <c r="AE51" s="100" t="s">
        <v>28</v>
      </c>
      <c r="AF51" s="224" t="s">
        <v>19</v>
      </c>
      <c r="AG51" s="647"/>
      <c r="AH51" s="360">
        <v>1</v>
      </c>
      <c r="AI51" s="100" t="s">
        <v>28</v>
      </c>
      <c r="AJ51" s="224" t="s">
        <v>19</v>
      </c>
      <c r="AK51" s="648"/>
      <c r="AL51" s="360">
        <v>1</v>
      </c>
      <c r="AM51" s="686"/>
      <c r="AN51" s="521"/>
      <c r="AO51" s="523"/>
      <c r="AP51" s="524"/>
      <c r="AQ51" s="224" t="s">
        <v>66</v>
      </c>
      <c r="AR51" s="524"/>
      <c r="AS51" s="224" t="s">
        <v>66</v>
      </c>
      <c r="AT51" s="585"/>
      <c r="AU51" s="525" t="s">
        <v>479</v>
      </c>
      <c r="AV51" s="57" t="e">
        <f>STRCHECKDATE(V54:AT54)</f>
        <v>#NAME?</v>
      </c>
      <c r="AW51" s="129"/>
      <c r="AX51" s="129" t="str">
        <f t="shared" si="22"/>
        <v/>
      </c>
      <c r="AY51" s="129"/>
      <c r="AZ51" s="129"/>
      <c r="BA51" s="50">
        <v>21</v>
      </c>
    </row>
    <row r="52" ht="11.5" customHeight="1">
      <c r="A52" s="493" t="s">
        <v>197</v>
      </c>
      <c r="B52" s="493"/>
      <c r="C52" s="493"/>
      <c r="D52" s="493"/>
      <c r="E52" s="505"/>
      <c r="F52" s="505"/>
      <c r="G52" s="505"/>
      <c r="H52" s="505"/>
      <c r="I52" s="517"/>
      <c r="J52" s="517"/>
      <c r="K52" s="512"/>
      <c r="L52" s="495"/>
      <c r="P52" s="132"/>
      <c r="Q52" s="132"/>
      <c r="R52" s="518"/>
      <c r="S52" s="649"/>
      <c r="T52" s="650"/>
      <c r="U52" s="500"/>
      <c r="V52" s="636"/>
      <c r="W52" s="653"/>
      <c r="X52" s="636"/>
      <c r="Y52" s="636"/>
      <c r="Z52" s="636"/>
      <c r="AA52" s="636"/>
      <c r="AB52" s="224"/>
      <c r="AC52" s="647"/>
      <c r="AD52" s="360"/>
      <c r="AE52" s="100"/>
      <c r="AF52" s="224"/>
      <c r="AG52" s="647"/>
      <c r="AH52" s="360"/>
      <c r="AI52" s="100"/>
      <c r="AJ52" s="224"/>
      <c r="AK52" s="652"/>
      <c r="AL52" s="177"/>
      <c r="AM52" s="172" t="s">
        <v>464</v>
      </c>
      <c r="AN52" s="636"/>
      <c r="AO52" s="653"/>
      <c r="AP52" s="636"/>
      <c r="AQ52" s="636"/>
      <c r="AR52" s="636"/>
      <c r="AS52" s="636"/>
      <c r="AT52" s="654"/>
      <c r="AU52" s="528"/>
      <c r="AW52" s="129"/>
      <c r="AX52" s="129"/>
      <c r="AY52" s="129"/>
      <c r="AZ52" s="129"/>
      <c r="BA52" s="50">
        <v>11</v>
      </c>
    </row>
    <row r="53" ht="11.5" customHeight="1">
      <c r="A53" s="493" t="s">
        <v>197</v>
      </c>
      <c r="B53" s="493"/>
      <c r="C53" s="493"/>
      <c r="D53" s="493"/>
      <c r="E53" s="505"/>
      <c r="F53" s="505"/>
      <c r="G53" s="505"/>
      <c r="H53" s="505"/>
      <c r="I53" s="517"/>
      <c r="J53" s="517"/>
      <c r="K53" s="512"/>
      <c r="L53" s="495"/>
      <c r="P53" s="132"/>
      <c r="Q53" s="132"/>
      <c r="R53" s="518"/>
      <c r="S53" s="649"/>
      <c r="T53" s="650"/>
      <c r="U53" s="500"/>
      <c r="V53" s="636"/>
      <c r="W53" s="653"/>
      <c r="X53" s="636"/>
      <c r="Y53" s="636"/>
      <c r="Z53" s="636"/>
      <c r="AA53" s="636"/>
      <c r="AB53" s="224"/>
      <c r="AC53" s="647"/>
      <c r="AD53" s="360"/>
      <c r="AE53" s="100"/>
      <c r="AF53" s="224"/>
      <c r="AG53" s="655"/>
      <c r="AH53" s="172"/>
      <c r="AI53" s="172" t="s">
        <v>465</v>
      </c>
      <c r="AJ53" s="636"/>
      <c r="AK53" s="636"/>
      <c r="AL53" s="636"/>
      <c r="AM53" s="636"/>
      <c r="AN53" s="636"/>
      <c r="AO53" s="653"/>
      <c r="AP53" s="636"/>
      <c r="AQ53" s="636"/>
      <c r="AR53" s="636"/>
      <c r="AS53" s="636"/>
      <c r="AT53" s="654"/>
      <c r="AU53" s="528"/>
      <c r="AW53" s="129"/>
      <c r="AX53" s="129"/>
      <c r="AY53" s="129"/>
      <c r="AZ53" s="129"/>
      <c r="BA53" s="50">
        <v>11</v>
      </c>
    </row>
    <row r="54" ht="11.5" customHeight="1">
      <c r="A54" s="493" t="s">
        <v>197</v>
      </c>
      <c r="B54" s="493" t="s">
        <v>198</v>
      </c>
      <c r="C54" s="493" t="s">
        <v>199</v>
      </c>
      <c r="D54" s="493" t="s">
        <v>200</v>
      </c>
      <c r="E54" s="505"/>
      <c r="F54" s="505"/>
      <c r="G54" s="505"/>
      <c r="H54" s="505"/>
      <c r="I54" s="517"/>
      <c r="J54" s="517"/>
      <c r="K54" s="512"/>
      <c r="L54" s="495"/>
      <c r="P54" s="132"/>
      <c r="Q54" s="132"/>
      <c r="R54" s="518"/>
      <c r="S54" s="622"/>
      <c r="T54" s="656"/>
      <c r="U54" s="500"/>
      <c r="V54" s="636"/>
      <c r="W54" s="637" t="str">
        <f>X51&amp;"-"&amp;Z51</f>
        <v>-</v>
      </c>
      <c r="X54" s="636"/>
      <c r="Y54" s="636"/>
      <c r="Z54" s="636"/>
      <c r="AA54" s="636"/>
      <c r="AB54" s="224"/>
      <c r="AC54" s="658"/>
      <c r="AD54" s="659"/>
      <c r="AE54" s="172" t="s">
        <v>466</v>
      </c>
      <c r="AF54" s="636"/>
      <c r="AG54" s="636"/>
      <c r="AH54" s="636"/>
      <c r="AI54" s="636"/>
      <c r="AJ54" s="636"/>
      <c r="AK54" s="636"/>
      <c r="AL54" s="636"/>
      <c r="AM54" s="636"/>
      <c r="AN54" s="636"/>
      <c r="AO54" s="637" t="str">
        <f>AP51&amp;"-"&amp;AR51</f>
        <v>-</v>
      </c>
      <c r="AP54" s="636"/>
      <c r="AQ54" s="636"/>
      <c r="AR54" s="636"/>
      <c r="AS54" s="636"/>
      <c r="AT54" s="587"/>
      <c r="AU54" s="528"/>
      <c r="AW54" s="129"/>
      <c r="AX54" s="129" t="str">
        <f t="shared" si="22"/>
        <v/>
      </c>
      <c r="AY54" s="129"/>
      <c r="AZ54" s="129"/>
      <c r="BA54" s="50">
        <v>11</v>
      </c>
    </row>
    <row r="55" ht="11.5" customHeight="1">
      <c r="A55" s="493" t="s">
        <v>197</v>
      </c>
      <c r="B55" s="493" t="s">
        <v>198</v>
      </c>
      <c r="C55" s="493" t="s">
        <v>199</v>
      </c>
      <c r="D55" s="493" t="s">
        <v>200</v>
      </c>
      <c r="E55" s="505"/>
      <c r="F55" s="505"/>
      <c r="G55" s="505"/>
      <c r="H55" s="505"/>
      <c r="I55" s="517"/>
      <c r="J55" s="512"/>
      <c r="K55" s="493"/>
      <c r="L55" s="495"/>
      <c r="P55" s="132"/>
      <c r="Q55" s="132"/>
      <c r="R55" s="513"/>
      <c r="S55" s="529"/>
      <c r="T55" s="533" t="s">
        <v>467</v>
      </c>
      <c r="U55" s="214"/>
      <c r="V55" s="214"/>
      <c r="W55" s="214"/>
      <c r="X55" s="214"/>
      <c r="Y55" s="214"/>
      <c r="Z55" s="214"/>
      <c r="AA55" s="531"/>
      <c r="AB55" s="687"/>
      <c r="AC55" s="214"/>
      <c r="AD55" s="214"/>
      <c r="AE55" s="214"/>
      <c r="AF55" s="214"/>
      <c r="AG55" s="214"/>
      <c r="AH55" s="214"/>
      <c r="AI55" s="214"/>
      <c r="AJ55" s="214"/>
      <c r="AK55" s="214"/>
      <c r="AL55" s="214"/>
      <c r="AM55" s="214"/>
      <c r="AN55" s="214"/>
      <c r="AO55" s="214"/>
      <c r="AP55" s="214"/>
      <c r="AQ55" s="214"/>
      <c r="AR55" s="214"/>
      <c r="AS55" s="214"/>
      <c r="AT55" s="531"/>
      <c r="AU55" s="532"/>
      <c r="AW55" s="129"/>
      <c r="AX55" s="129" t="str">
        <f t="shared" si="22"/>
        <v xml:space="preserve">Добавить строку</v>
      </c>
      <c r="AY55" s="129"/>
      <c r="AZ55" s="129"/>
      <c r="BA55" s="50">
        <v>11</v>
      </c>
    </row>
    <row r="56" s="57" customFormat="1" ht="1.05" customHeight="1">
      <c r="A56" s="133" t="s">
        <v>197</v>
      </c>
      <c r="B56" s="133" t="s">
        <v>198</v>
      </c>
      <c r="C56" s="133" t="s">
        <v>199</v>
      </c>
      <c r="D56" s="133" t="s">
        <v>200</v>
      </c>
      <c r="E56" s="505"/>
      <c r="F56" s="505"/>
      <c r="G56" s="505"/>
      <c r="H56" s="505"/>
      <c r="I56" s="512"/>
      <c r="J56" s="133"/>
      <c r="K56" s="133"/>
      <c r="L56" s="212"/>
      <c r="M56" s="610"/>
      <c r="N56" s="610"/>
      <c r="O56" s="610"/>
      <c r="P56" s="132"/>
      <c r="Q56" s="132"/>
      <c r="R56" s="513"/>
      <c r="S56" s="606"/>
      <c r="T56" s="607" t="s">
        <v>414</v>
      </c>
      <c r="U56" s="608"/>
      <c r="V56" s="608"/>
      <c r="W56" s="608"/>
      <c r="X56" s="608"/>
      <c r="Y56" s="608"/>
      <c r="Z56" s="608"/>
      <c r="AA56" s="608"/>
      <c r="AB56" s="608"/>
      <c r="AC56" s="608"/>
      <c r="AD56" s="608"/>
      <c r="AE56" s="608"/>
      <c r="AF56" s="608"/>
      <c r="AG56" s="608"/>
      <c r="AH56" s="608"/>
      <c r="AI56" s="608"/>
      <c r="AJ56" s="608"/>
      <c r="AK56" s="608"/>
      <c r="AL56" s="608"/>
      <c r="AM56" s="608"/>
      <c r="AN56" s="608"/>
      <c r="AO56" s="608"/>
      <c r="AP56" s="608"/>
      <c r="AQ56" s="608"/>
      <c r="AR56" s="608"/>
      <c r="AS56" s="608"/>
      <c r="AT56" s="608"/>
      <c r="AU56" s="609"/>
      <c r="AW56" s="129"/>
      <c r="AX56" s="129" t="str">
        <f t="shared" si="22"/>
        <v xml:space="preserve">Добавить группу потребителей</v>
      </c>
      <c r="AY56" s="129"/>
      <c r="AZ56" s="129"/>
      <c r="BA56" s="57">
        <v>1</v>
      </c>
    </row>
    <row r="57" s="131" customFormat="1" ht="1.05" customHeight="1">
      <c r="A57" s="133" t="s">
        <v>197</v>
      </c>
      <c r="B57" s="133" t="s">
        <v>198</v>
      </c>
      <c r="C57" s="133" t="s">
        <v>199</v>
      </c>
      <c r="D57" s="133" t="s">
        <v>200</v>
      </c>
      <c r="E57" s="505"/>
      <c r="F57" s="505"/>
      <c r="G57" s="505"/>
      <c r="H57" s="494"/>
      <c r="I57" s="133"/>
      <c r="J57" s="133"/>
      <c r="K57" s="133"/>
      <c r="L57" s="212"/>
      <c r="M57" s="478"/>
      <c r="N57" s="478"/>
      <c r="O57" s="57"/>
      <c r="P57" s="167"/>
      <c r="Q57" s="538"/>
      <c r="R57" s="688"/>
      <c r="S57" s="606"/>
      <c r="T57" s="607"/>
      <c r="U57" s="608"/>
      <c r="V57" s="608"/>
      <c r="W57" s="608"/>
      <c r="X57" s="608"/>
      <c r="Y57" s="608"/>
      <c r="Z57" s="608"/>
      <c r="AA57" s="608"/>
      <c r="AB57" s="608"/>
      <c r="AC57" s="608"/>
      <c r="AD57" s="608"/>
      <c r="AE57" s="608"/>
      <c r="AF57" s="608"/>
      <c r="AG57" s="608"/>
      <c r="AH57" s="608"/>
      <c r="AI57" s="608"/>
      <c r="AJ57" s="608"/>
      <c r="AK57" s="608"/>
      <c r="AL57" s="608"/>
      <c r="AM57" s="608"/>
      <c r="AN57" s="608"/>
      <c r="AO57" s="608"/>
      <c r="AP57" s="608"/>
      <c r="AQ57" s="608"/>
      <c r="AR57" s="608"/>
      <c r="AS57" s="608"/>
      <c r="AT57" s="608"/>
      <c r="AU57" s="609"/>
      <c r="AV57" s="57"/>
      <c r="AW57" s="129"/>
      <c r="AX57" s="129" t="str">
        <f t="shared" si="22"/>
        <v/>
      </c>
      <c r="AY57" s="129"/>
      <c r="AZ57" s="129"/>
      <c r="BA57" s="131">
        <v>1</v>
      </c>
    </row>
    <row r="58" s="57" customFormat="1" ht="1.05" customHeight="1">
      <c r="A58" s="133" t="s">
        <v>197</v>
      </c>
      <c r="B58" s="133" t="s">
        <v>198</v>
      </c>
      <c r="C58" s="133" t="s">
        <v>199</v>
      </c>
      <c r="D58" s="133"/>
      <c r="E58" s="505"/>
      <c r="F58" s="505"/>
      <c r="G58" s="494"/>
      <c r="H58" s="133"/>
      <c r="I58" s="133"/>
      <c r="J58" s="133"/>
      <c r="K58" s="133"/>
      <c r="L58" s="212"/>
      <c r="M58" s="478"/>
      <c r="N58" s="478"/>
      <c r="P58" s="167"/>
      <c r="Q58" s="538"/>
      <c r="R58" s="167"/>
      <c r="S58" s="543"/>
      <c r="T58" s="546" t="s">
        <v>416</v>
      </c>
      <c r="U58" s="545"/>
      <c r="V58" s="545"/>
      <c r="W58" s="545"/>
      <c r="X58" s="545"/>
      <c r="Y58" s="545"/>
      <c r="Z58" s="545"/>
      <c r="AA58" s="545"/>
      <c r="AB58" s="545"/>
      <c r="AC58" s="545"/>
      <c r="AD58" s="545"/>
      <c r="AE58" s="545"/>
      <c r="AF58" s="545"/>
      <c r="AG58" s="545"/>
      <c r="AH58" s="545"/>
      <c r="AI58" s="545"/>
      <c r="AJ58" s="545"/>
      <c r="AK58" s="545"/>
      <c r="AL58" s="545"/>
      <c r="AM58" s="545"/>
      <c r="AN58" s="545"/>
      <c r="AO58" s="545"/>
      <c r="AP58" s="545"/>
      <c r="AQ58" s="545"/>
      <c r="AR58" s="545"/>
      <c r="AS58" s="545"/>
      <c r="AT58" s="545"/>
      <c r="AU58" s="545"/>
      <c r="AW58" s="129"/>
      <c r="AX58" s="129" t="str">
        <f t="shared" si="22"/>
        <v xml:space="preserve">Добавить источник для дифференциации</v>
      </c>
      <c r="AY58" s="129"/>
      <c r="AZ58" s="129"/>
      <c r="BA58" s="57">
        <v>1</v>
      </c>
    </row>
    <row r="59" s="57" customFormat="1" ht="1.05" customHeight="1">
      <c r="A59" s="133" t="s">
        <v>197</v>
      </c>
      <c r="B59" s="133" t="s">
        <v>198</v>
      </c>
      <c r="C59" s="133"/>
      <c r="D59" s="133"/>
      <c r="E59" s="505"/>
      <c r="F59" s="494"/>
      <c r="G59" s="133"/>
      <c r="H59" s="133"/>
      <c r="I59" s="133"/>
      <c r="J59" s="133"/>
      <c r="K59" s="133"/>
      <c r="L59" s="212"/>
      <c r="M59" s="542"/>
      <c r="N59" s="542"/>
      <c r="P59" s="167"/>
      <c r="Q59" s="538"/>
      <c r="R59" s="167"/>
      <c r="S59" s="543"/>
      <c r="T59" s="546" t="s">
        <v>238</v>
      </c>
      <c r="U59" s="545"/>
      <c r="V59" s="545"/>
      <c r="W59" s="545"/>
      <c r="X59" s="545"/>
      <c r="Y59" s="545"/>
      <c r="Z59" s="545"/>
      <c r="AA59" s="545"/>
      <c r="AB59" s="545"/>
      <c r="AC59" s="545"/>
      <c r="AD59" s="545"/>
      <c r="AE59" s="545"/>
      <c r="AF59" s="545"/>
      <c r="AG59" s="545"/>
      <c r="AH59" s="545"/>
      <c r="AI59" s="545"/>
      <c r="AJ59" s="545"/>
      <c r="AK59" s="545"/>
      <c r="AL59" s="545"/>
      <c r="AM59" s="545"/>
      <c r="AN59" s="545"/>
      <c r="AO59" s="545"/>
      <c r="AP59" s="545"/>
      <c r="AQ59" s="545"/>
      <c r="AR59" s="545"/>
      <c r="AS59" s="545"/>
      <c r="AT59" s="545"/>
      <c r="AU59" s="545"/>
      <c r="AW59" s="129"/>
      <c r="AX59" s="129" t="str">
        <f t="shared" si="22"/>
        <v xml:space="preserve">Добавить централизованную систему для дифференциации</v>
      </c>
      <c r="AY59" s="129"/>
      <c r="AZ59" s="129"/>
      <c r="BA59" s="57">
        <v>1</v>
      </c>
    </row>
    <row r="60" s="57" customFormat="1" ht="1.05" customHeight="1">
      <c r="A60" s="133" t="s">
        <v>197</v>
      </c>
      <c r="B60" s="133"/>
      <c r="C60" s="133"/>
      <c r="D60" s="133"/>
      <c r="E60" s="505"/>
      <c r="F60" s="133"/>
      <c r="G60" s="133"/>
      <c r="H60" s="133"/>
      <c r="I60" s="133"/>
      <c r="J60" s="133"/>
      <c r="K60" s="133"/>
      <c r="L60" s="212"/>
      <c r="M60" s="542"/>
      <c r="N60" s="542"/>
      <c r="O60" s="57"/>
      <c r="P60" s="167"/>
      <c r="Q60" s="538"/>
      <c r="R60" s="167"/>
      <c r="S60" s="543"/>
      <c r="T60" s="546" t="s">
        <v>239</v>
      </c>
      <c r="U60" s="545"/>
      <c r="V60" s="545"/>
      <c r="W60" s="545"/>
      <c r="X60" s="545"/>
      <c r="Y60" s="545"/>
      <c r="Z60" s="545"/>
      <c r="AA60" s="545"/>
      <c r="AB60" s="545"/>
      <c r="AC60" s="545"/>
      <c r="AD60" s="545"/>
      <c r="AE60" s="545"/>
      <c r="AF60" s="545"/>
      <c r="AG60" s="545"/>
      <c r="AH60" s="545"/>
      <c r="AI60" s="545"/>
      <c r="AJ60" s="545"/>
      <c r="AK60" s="545"/>
      <c r="AL60" s="545"/>
      <c r="AM60" s="545"/>
      <c r="AN60" s="545"/>
      <c r="AO60" s="545"/>
      <c r="AP60" s="545"/>
      <c r="AQ60" s="545"/>
      <c r="AR60" s="545"/>
      <c r="AS60" s="545"/>
      <c r="AT60" s="545"/>
      <c r="AU60" s="545"/>
      <c r="AW60" s="129"/>
      <c r="AX60" s="129" t="str">
        <f t="shared" si="22"/>
        <v xml:space="preserve">Добавить территорию для дифференциации</v>
      </c>
      <c r="AY60" s="129"/>
      <c r="AZ60" s="129"/>
      <c r="BA60" s="57">
        <v>1</v>
      </c>
    </row>
    <row r="61" s="57" customFormat="1" ht="1.05" customHeight="1">
      <c r="A61" s="133" t="s">
        <v>197</v>
      </c>
      <c r="B61" s="133"/>
      <c r="C61" s="133"/>
      <c r="D61" s="133"/>
      <c r="E61" s="494"/>
      <c r="F61" s="133"/>
      <c r="G61" s="133"/>
      <c r="H61" s="133"/>
      <c r="I61" s="133"/>
      <c r="J61" s="133"/>
      <c r="K61" s="133"/>
      <c r="L61" s="212"/>
      <c r="M61" s="542"/>
      <c r="N61" s="542"/>
      <c r="O61" s="57"/>
      <c r="P61" s="167"/>
      <c r="Q61" s="538"/>
      <c r="R61" s="167"/>
      <c r="S61" s="543"/>
      <c r="T61" s="546" t="s">
        <v>239</v>
      </c>
      <c r="U61" s="545"/>
      <c r="V61" s="545"/>
      <c r="W61" s="545"/>
      <c r="X61" s="545"/>
      <c r="Y61" s="545"/>
      <c r="Z61" s="545"/>
      <c r="AA61" s="545"/>
      <c r="AB61" s="545"/>
      <c r="AC61" s="545"/>
      <c r="AD61" s="545"/>
      <c r="AE61" s="545"/>
      <c r="AF61" s="545"/>
      <c r="AG61" s="545"/>
      <c r="AH61" s="545"/>
      <c r="AI61" s="545"/>
      <c r="AJ61" s="545"/>
      <c r="AK61" s="545"/>
      <c r="AL61" s="545"/>
      <c r="AM61" s="545"/>
      <c r="AN61" s="545"/>
      <c r="AO61" s="545"/>
      <c r="AP61" s="545"/>
      <c r="AQ61" s="545"/>
      <c r="AR61" s="545"/>
      <c r="AS61" s="545"/>
      <c r="AT61" s="545"/>
      <c r="AU61" s="545"/>
      <c r="AW61" s="129"/>
      <c r="AX61" s="129" t="str">
        <f t="shared" si="22"/>
        <v xml:space="preserve">Добавить территорию для дифференциации</v>
      </c>
      <c r="AY61" s="129"/>
      <c r="AZ61" s="129"/>
      <c r="BA61" s="57">
        <v>1</v>
      </c>
    </row>
    <row r="62" s="57" customFormat="1" ht="1.05" customHeight="1">
      <c r="A62" s="133"/>
      <c r="B62" s="133"/>
      <c r="C62" s="133"/>
      <c r="D62" s="133"/>
      <c r="E62" s="133"/>
      <c r="F62" s="133"/>
      <c r="G62" s="133"/>
      <c r="H62" s="133"/>
      <c r="I62" s="133"/>
      <c r="J62" s="133"/>
      <c r="K62" s="133"/>
      <c r="L62" s="212"/>
      <c r="M62" s="542"/>
      <c r="N62" s="542"/>
      <c r="P62" s="167"/>
      <c r="Q62" s="538"/>
      <c r="R62" s="167"/>
      <c r="S62" s="543"/>
      <c r="T62" s="546" t="s">
        <v>240</v>
      </c>
      <c r="U62" s="545"/>
      <c r="V62" s="545"/>
      <c r="W62" s="545"/>
      <c r="X62" s="545"/>
      <c r="Y62" s="545"/>
      <c r="Z62" s="545"/>
      <c r="AA62" s="545"/>
      <c r="AB62" s="545"/>
      <c r="AC62" s="545"/>
      <c r="AD62" s="545"/>
      <c r="AE62" s="545"/>
      <c r="AF62" s="545"/>
      <c r="AG62" s="545"/>
      <c r="AH62" s="545"/>
      <c r="AI62" s="545"/>
      <c r="AJ62" s="545"/>
      <c r="AK62" s="545"/>
      <c r="AL62" s="545"/>
      <c r="AM62" s="545"/>
      <c r="AN62" s="545"/>
      <c r="AO62" s="545"/>
      <c r="AP62" s="545"/>
      <c r="AQ62" s="545"/>
      <c r="AR62" s="545"/>
      <c r="AS62" s="545"/>
      <c r="AT62" s="545"/>
      <c r="AU62" s="545"/>
      <c r="AW62" s="129"/>
      <c r="AX62" s="129" t="str">
        <f t="shared" si="22"/>
        <v xml:space="preserve">Добавить наименование тарифа</v>
      </c>
      <c r="AY62" s="129"/>
      <c r="AZ62" s="129"/>
      <c r="BA62" s="57">
        <v>1</v>
      </c>
    </row>
    <row r="63" ht="11.5" customHeight="1">
      <c r="M63" s="53"/>
      <c r="N63" s="53"/>
      <c r="O63" s="53"/>
      <c r="P63" s="53"/>
      <c r="Q63" s="53"/>
      <c r="R63" s="50"/>
      <c r="S63" s="50"/>
      <c r="AV63" s="50"/>
      <c r="AW63" s="50"/>
      <c r="AX63" s="50"/>
      <c r="AY63" s="50"/>
      <c r="AZ63" s="50"/>
      <c r="BA63" s="50">
        <v>11</v>
      </c>
    </row>
    <row r="64" ht="19.949999999999999" customHeight="1">
      <c r="O64" s="53"/>
      <c r="S64" s="490"/>
      <c r="T64" s="588"/>
      <c r="U64" s="588"/>
      <c r="V64" s="588"/>
      <c r="W64" s="588"/>
      <c r="X64" s="588"/>
      <c r="Y64" s="588"/>
      <c r="Z64" s="588"/>
      <c r="AA64" s="588"/>
      <c r="AB64" s="588"/>
      <c r="AC64" s="588"/>
      <c r="AD64" s="588"/>
      <c r="AE64" s="588"/>
      <c r="AF64" s="588"/>
      <c r="AG64" s="588"/>
      <c r="AH64" s="588"/>
      <c r="AI64" s="588"/>
      <c r="AJ64" s="588"/>
      <c r="AK64" s="588"/>
      <c r="AL64" s="588"/>
      <c r="AM64" s="588"/>
      <c r="AN64" s="588"/>
      <c r="AO64" s="588"/>
      <c r="AP64" s="588"/>
      <c r="AQ64" s="588"/>
      <c r="AR64" s="588"/>
      <c r="AS64" s="588"/>
      <c r="AT64" s="588"/>
      <c r="AU64" s="588"/>
      <c r="BA64" s="50">
        <v>19</v>
      </c>
    </row>
    <row r="65" ht="21" customHeight="1">
      <c r="O65" s="53"/>
      <c r="T65" s="588"/>
      <c r="U65" s="588"/>
      <c r="V65" s="588"/>
      <c r="W65" s="588"/>
      <c r="X65" s="588"/>
      <c r="Y65" s="588"/>
      <c r="Z65" s="588"/>
      <c r="AA65" s="588"/>
      <c r="AB65" s="588"/>
      <c r="AC65" s="588"/>
      <c r="AD65" s="588"/>
      <c r="AE65" s="588"/>
      <c r="AF65" s="588"/>
      <c r="AG65" s="588"/>
      <c r="AH65" s="588"/>
      <c r="AI65" s="588"/>
      <c r="AJ65" s="588"/>
      <c r="AK65" s="588"/>
      <c r="AL65" s="588"/>
      <c r="AM65" s="588"/>
      <c r="AN65" s="588"/>
      <c r="AO65" s="588"/>
      <c r="AP65" s="588"/>
      <c r="AQ65" s="588"/>
      <c r="AR65" s="588"/>
      <c r="AS65" s="588"/>
      <c r="AT65" s="588"/>
      <c r="AU65" s="588"/>
      <c r="BA65" s="50">
        <v>20</v>
      </c>
    </row>
    <row r="66" ht="14.65" customHeight="1">
      <c r="O66" s="53"/>
      <c r="T66" s="588"/>
      <c r="U66" s="588"/>
      <c r="V66" s="588"/>
      <c r="W66" s="588"/>
      <c r="X66" s="588"/>
      <c r="Y66" s="588"/>
      <c r="Z66" s="588"/>
      <c r="AA66" s="588"/>
      <c r="AB66" s="588"/>
      <c r="AC66" s="588"/>
      <c r="AD66" s="588"/>
      <c r="AE66" s="588"/>
      <c r="AF66" s="588"/>
      <c r="AG66" s="588"/>
      <c r="AH66" s="588"/>
      <c r="AI66" s="588"/>
      <c r="AJ66" s="588"/>
      <c r="AK66" s="588"/>
      <c r="AL66" s="588"/>
      <c r="AM66" s="588"/>
      <c r="AN66" s="588"/>
      <c r="AO66" s="588"/>
      <c r="AP66" s="588"/>
      <c r="AQ66" s="588"/>
      <c r="AR66" s="588"/>
      <c r="AS66" s="588"/>
      <c r="AT66" s="588"/>
      <c r="AU66" s="588"/>
      <c r="BA66" s="50">
        <v>14</v>
      </c>
    </row>
    <row r="67" ht="19.949999999999999" customHeight="1">
      <c r="O67" s="53"/>
      <c r="T67" s="588"/>
      <c r="U67" s="588"/>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R67" s="588"/>
      <c r="AS67" s="588"/>
      <c r="AT67" s="588"/>
      <c r="AU67" s="588"/>
      <c r="BA67" s="50">
        <v>19</v>
      </c>
    </row>
    <row r="68" ht="16.800000000000001" customHeight="1">
      <c r="O68" s="53"/>
      <c r="T68" s="588"/>
      <c r="U68" s="588"/>
      <c r="V68" s="588"/>
      <c r="W68" s="588"/>
      <c r="X68" s="588"/>
      <c r="Y68" s="588"/>
      <c r="Z68" s="588"/>
      <c r="AA68" s="588"/>
      <c r="AB68" s="588"/>
      <c r="AC68" s="588"/>
      <c r="AD68" s="588"/>
      <c r="AE68" s="588"/>
      <c r="AF68" s="588"/>
      <c r="AG68" s="588"/>
      <c r="AH68" s="588"/>
      <c r="AI68" s="588"/>
      <c r="AJ68" s="588"/>
      <c r="AK68" s="588"/>
      <c r="AL68" s="588"/>
      <c r="AM68" s="588"/>
      <c r="AN68" s="588"/>
      <c r="AO68" s="588"/>
      <c r="AP68" s="588"/>
      <c r="AQ68" s="588"/>
      <c r="AR68" s="588"/>
      <c r="AS68" s="588"/>
      <c r="AT68" s="588"/>
      <c r="AU68" s="588"/>
      <c r="BA68" s="50">
        <v>16</v>
      </c>
    </row>
    <row r="69" ht="14.65" customHeight="1">
      <c r="O69" s="53"/>
      <c r="BA69" s="50">
        <v>14</v>
      </c>
    </row>
    <row r="70" ht="22.5" hidden="1" customHeight="1">
      <c r="A70" s="53" t="s">
        <v>82</v>
      </c>
      <c r="B70" s="53">
        <v>0</v>
      </c>
      <c r="C70" s="53">
        <v>0</v>
      </c>
      <c r="D70" s="53">
        <v>0</v>
      </c>
      <c r="E70" s="53">
        <v>0</v>
      </c>
      <c r="F70" s="53">
        <v>0</v>
      </c>
      <c r="G70" s="53">
        <v>0</v>
      </c>
      <c r="H70" s="53">
        <v>0</v>
      </c>
      <c r="I70" s="53">
        <v>0</v>
      </c>
      <c r="J70" s="53">
        <v>0</v>
      </c>
      <c r="K70" s="53">
        <v>0</v>
      </c>
      <c r="L70" s="113">
        <v>0</v>
      </c>
      <c r="M70" s="61">
        <v>0</v>
      </c>
      <c r="N70" s="61">
        <v>0</v>
      </c>
      <c r="O70" s="61">
        <v>0</v>
      </c>
      <c r="P70" s="61">
        <v>3</v>
      </c>
      <c r="Q70" s="552">
        <v>3</v>
      </c>
      <c r="R70" s="492">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0" deleteRows="0" formatCells="1" formatColumns="0" formatRows="0" insertColumns="1" insertHyperlinks="1" insertRows="0" pivotTables="1" selectLockedCells="0" selectUnlockedCells="0" sheet="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isablePrompts="0">
    <dataValidation sqref="V42:W42" type="none" allowBlank="1" error="Выберите значение из списка" errorStyle="stop" errorTitle="Ошибка" imeMode="noControl" operator="between" showDropDown="0" showErrorMessage="0" showInputMessage="0"/>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FA009B-00B0-493D-9A48-0098000500C8}"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 xr:uid="{005F004F-00A5-4D78-B1E0-00680015002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CC0017-00C6-4208-BC88-00240089007A}"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4300DE-00FF-417B-A9B0-006C00CE0052}"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4C003B-0032-4527-984B-009700760004}"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3"/>
      <c r="AK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3">IF(T2="","",T2)</f>
        <v xml:space="preserve">Наименование тарифа</v>
      </c>
      <c r="AO2" s="129"/>
      <c r="AP2" s="129"/>
      <c r="AQ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3"/>
      <c r="AC3" s="501" t="e">
        <f>INDEX(PT_DIFFERENTIATION_TER,MATCH(B3,PT_DIFFERENTIATION_TER_ID,0))</f>
        <v>#VALUE!</v>
      </c>
      <c r="AD3" s="502"/>
      <c r="AE3" s="502"/>
      <c r="AF3" s="502"/>
      <c r="AG3" s="502"/>
      <c r="AH3" s="502"/>
      <c r="AI3" s="502"/>
      <c r="AJ3" s="503"/>
      <c r="AK3" s="504" t="s">
        <v>400</v>
      </c>
      <c r="AM3" s="129"/>
      <c r="AN3" s="129" t="str">
        <f t="shared" si="23"/>
        <v xml:space="preserve">Территория действия тарифа</v>
      </c>
      <c r="AO3" s="129"/>
      <c r="AP3" s="129"/>
      <c r="AQ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480</v>
      </c>
      <c r="U4" s="500"/>
      <c r="V4" s="501"/>
      <c r="W4" s="502"/>
      <c r="X4" s="502"/>
      <c r="Y4" s="502"/>
      <c r="Z4" s="502"/>
      <c r="AA4" s="502"/>
      <c r="AB4" s="503"/>
      <c r="AC4" s="501" t="e">
        <f>INDEX(PT_DIFFERENTIATION_CS,MATCH(C4,PT_DIFFERENTIATION_CS_ID,0))</f>
        <v>#VALUE!</v>
      </c>
      <c r="AD4" s="502"/>
      <c r="AE4" s="502"/>
      <c r="AF4" s="502"/>
      <c r="AG4" s="502"/>
      <c r="AH4" s="502"/>
      <c r="AI4" s="502"/>
      <c r="AJ4" s="503"/>
      <c r="AK4" s="504" t="s">
        <v>481</v>
      </c>
      <c r="AM4" s="129"/>
      <c r="AN4" s="129" t="str">
        <f t="shared" si="23"/>
        <v xml:space="preserve">Наименование централизованной системы холодного водоснабжения</v>
      </c>
      <c r="AO4" s="129"/>
      <c r="AP4" s="129"/>
      <c r="AQ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482</v>
      </c>
      <c r="U5" s="500"/>
      <c r="V5" s="689"/>
      <c r="W5" s="690"/>
      <c r="X5" s="690"/>
      <c r="Y5" s="690"/>
      <c r="Z5" s="690"/>
      <c r="AA5" s="690"/>
      <c r="AB5" s="691"/>
      <c r="AC5" s="692"/>
      <c r="AD5" s="693"/>
      <c r="AE5" s="693"/>
      <c r="AF5" s="693"/>
      <c r="AG5" s="693"/>
      <c r="AH5" s="693"/>
      <c r="AI5" s="693"/>
      <c r="AJ5" s="694"/>
      <c r="AK5" s="504" t="s">
        <v>483</v>
      </c>
      <c r="AM5" s="129"/>
      <c r="AN5" s="129" t="str">
        <f t="shared" si="23"/>
        <v xml:space="preserve">Наименование признака дифференциации</v>
      </c>
      <c r="AO5" s="129"/>
      <c r="AP5" s="129"/>
      <c r="AQ5" s="50">
        <v>0</v>
      </c>
    </row>
    <row r="6" ht="23.25" hidden="1" customHeight="1">
      <c r="A6" s="493"/>
      <c r="B6" s="493"/>
      <c r="C6" s="493"/>
      <c r="D6" s="493"/>
      <c r="E6" s="505"/>
      <c r="F6" s="505"/>
      <c r="G6" s="505"/>
      <c r="H6" s="505"/>
      <c r="I6" s="517"/>
      <c r="J6" s="512" t="e">
        <f>I5&amp;".1"</f>
        <v>#VALUE!</v>
      </c>
      <c r="K6" s="493"/>
      <c r="L6" s="495" t="s">
        <v>408</v>
      </c>
      <c r="P6" s="132"/>
      <c r="Q6" s="132">
        <v>1</v>
      </c>
      <c r="R6" s="518"/>
      <c r="S6" s="498" t="e">
        <f>$J6</f>
        <v>#VALUE!</v>
      </c>
      <c r="T6" s="519" t="s">
        <v>409</v>
      </c>
      <c r="U6" s="500"/>
      <c r="V6" s="445"/>
      <c r="W6" s="515"/>
      <c r="X6" s="515"/>
      <c r="Y6" s="515"/>
      <c r="Z6" s="515"/>
      <c r="AA6" s="515"/>
      <c r="AB6" s="516"/>
      <c r="AC6" s="445"/>
      <c r="AD6" s="515"/>
      <c r="AE6" s="515"/>
      <c r="AF6" s="515"/>
      <c r="AG6" s="515"/>
      <c r="AH6" s="515"/>
      <c r="AI6" s="515"/>
      <c r="AJ6" s="516"/>
      <c r="AK6" s="631" t="s">
        <v>484</v>
      </c>
      <c r="AM6" s="129"/>
      <c r="AN6" s="129" t="str">
        <f t="shared" si="23"/>
        <v xml:space="preserve">Группа потребителей</v>
      </c>
      <c r="AO6" s="129"/>
      <c r="AP6" s="129"/>
      <c r="AQ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696"/>
      <c r="AK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3"/>
        <v/>
      </c>
      <c r="AO7" s="129"/>
      <c r="AP7" s="129"/>
      <c r="AQ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698"/>
      <c r="AK8" s="697"/>
      <c r="AM8" s="129"/>
      <c r="AN8" s="129" t="str">
        <f t="shared" si="23"/>
        <v/>
      </c>
      <c r="AO8" s="129"/>
      <c r="AP8" s="129"/>
      <c r="AQ8" s="50">
        <v>0</v>
      </c>
    </row>
    <row r="9" ht="21" hidden="1" customHeight="1">
      <c r="A9" s="493"/>
      <c r="B9" s="493"/>
      <c r="C9" s="493"/>
      <c r="D9" s="493"/>
      <c r="E9" s="505"/>
      <c r="F9" s="505"/>
      <c r="G9" s="505"/>
      <c r="H9" s="505"/>
      <c r="I9" s="517"/>
      <c r="J9" s="512"/>
      <c r="K9" s="493"/>
      <c r="L9" s="495"/>
      <c r="P9" s="132"/>
      <c r="Q9" s="132"/>
      <c r="R9" s="513"/>
      <c r="S9" s="529"/>
      <c r="T9" s="533" t="s">
        <v>485</v>
      </c>
      <c r="U9" s="214"/>
      <c r="V9" s="214"/>
      <c r="W9" s="214"/>
      <c r="X9" s="214"/>
      <c r="Y9" s="214"/>
      <c r="Z9" s="214"/>
      <c r="AA9" s="214"/>
      <c r="AB9" s="214"/>
      <c r="AC9" s="214"/>
      <c r="AD9" s="214"/>
      <c r="AE9" s="214"/>
      <c r="AF9" s="214"/>
      <c r="AG9" s="214"/>
      <c r="AH9" s="214"/>
      <c r="AI9" s="214"/>
      <c r="AJ9" s="214"/>
      <c r="AK9" s="504" t="s">
        <v>486</v>
      </c>
      <c r="AM9" s="129"/>
      <c r="AN9" s="129" t="str">
        <f t="shared" si="23"/>
        <v xml:space="preserve">Добавить значение признака дифференциации</v>
      </c>
      <c r="AO9" s="129"/>
      <c r="AP9" s="129"/>
      <c r="AQ9" s="50">
        <v>0</v>
      </c>
    </row>
    <row r="10" ht="21" hidden="1" customHeight="1">
      <c r="A10" s="493"/>
      <c r="B10" s="493"/>
      <c r="C10" s="493"/>
      <c r="D10" s="493"/>
      <c r="E10" s="505"/>
      <c r="F10" s="505"/>
      <c r="G10" s="505"/>
      <c r="H10" s="505"/>
      <c r="I10" s="512"/>
      <c r="J10" s="493"/>
      <c r="K10" s="493"/>
      <c r="L10" s="495"/>
      <c r="P10" s="132"/>
      <c r="Q10" s="132"/>
      <c r="R10" s="513"/>
      <c r="S10" s="529"/>
      <c r="T10" s="537" t="s">
        <v>414</v>
      </c>
      <c r="U10" s="214"/>
      <c r="V10" s="214"/>
      <c r="W10" s="214"/>
      <c r="X10" s="214"/>
      <c r="Y10" s="214"/>
      <c r="Z10" s="214"/>
      <c r="AA10" s="214"/>
      <c r="AB10" s="534"/>
      <c r="AC10" s="214"/>
      <c r="AD10" s="214"/>
      <c r="AE10" s="214"/>
      <c r="AF10" s="214"/>
      <c r="AG10" s="214"/>
      <c r="AH10" s="214"/>
      <c r="AI10" s="534"/>
      <c r="AJ10" s="214"/>
      <c r="AK10" s="699"/>
      <c r="AM10" s="129"/>
      <c r="AN10" s="129" t="str">
        <f t="shared" ref="AN10:AN53" si="24">IF(T10="","",T10)</f>
        <v xml:space="preserve">Добавить группу потребителей</v>
      </c>
      <c r="AO10" s="129"/>
      <c r="AP10" s="129"/>
      <c r="AQ10" s="50">
        <v>0</v>
      </c>
    </row>
    <row r="11" ht="14.25" hidden="1" customHeight="1">
      <c r="A11" s="493"/>
      <c r="B11" s="493"/>
      <c r="C11" s="493"/>
      <c r="D11" s="493"/>
      <c r="E11" s="505"/>
      <c r="F11" s="505"/>
      <c r="G11" s="505"/>
      <c r="H11" s="494"/>
      <c r="I11" s="493"/>
      <c r="J11" s="493"/>
      <c r="K11" s="493"/>
      <c r="L11" s="495"/>
      <c r="M11" s="496"/>
      <c r="N11" s="496"/>
      <c r="O11" s="53"/>
      <c r="P11" s="143"/>
      <c r="Q11" s="536"/>
      <c r="R11" s="497"/>
      <c r="S11" s="529"/>
      <c r="T11" s="700" t="s">
        <v>487</v>
      </c>
      <c r="U11" s="214"/>
      <c r="V11" s="214"/>
      <c r="W11" s="214"/>
      <c r="X11" s="214"/>
      <c r="Y11" s="214"/>
      <c r="Z11" s="214"/>
      <c r="AA11" s="214"/>
      <c r="AB11" s="534"/>
      <c r="AC11" s="214"/>
      <c r="AD11" s="214"/>
      <c r="AE11" s="214"/>
      <c r="AF11" s="214"/>
      <c r="AG11" s="214"/>
      <c r="AH11" s="214"/>
      <c r="AI11" s="534"/>
      <c r="AJ11" s="214"/>
      <c r="AK11" s="535"/>
      <c r="AM11" s="129"/>
      <c r="AN11" s="129" t="str">
        <f t="shared" si="24"/>
        <v xml:space="preserve">Добавить наименование признака дифференциации</v>
      </c>
      <c r="AO11" s="129"/>
      <c r="AP11" s="129"/>
      <c r="AQ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238</v>
      </c>
      <c r="U12" s="545"/>
      <c r="V12" s="545"/>
      <c r="W12" s="545"/>
      <c r="X12" s="545"/>
      <c r="Y12" s="545"/>
      <c r="Z12" s="545"/>
      <c r="AA12" s="545"/>
      <c r="AB12" s="545"/>
      <c r="AC12" s="545"/>
      <c r="AD12" s="545"/>
      <c r="AE12" s="545"/>
      <c r="AF12" s="545"/>
      <c r="AG12" s="545"/>
      <c r="AH12" s="545"/>
      <c r="AI12" s="545"/>
      <c r="AJ12" s="545"/>
      <c r="AK12" s="545"/>
      <c r="AM12" s="129"/>
      <c r="AN12" s="129" t="str">
        <f t="shared" si="24"/>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239</v>
      </c>
      <c r="U13" s="545"/>
      <c r="V13" s="545"/>
      <c r="W13" s="545"/>
      <c r="X13" s="545"/>
      <c r="Y13" s="545"/>
      <c r="Z13" s="545"/>
      <c r="AA13" s="545"/>
      <c r="AB13" s="545"/>
      <c r="AC13" s="545"/>
      <c r="AD13" s="545"/>
      <c r="AE13" s="545"/>
      <c r="AF13" s="545"/>
      <c r="AG13" s="545"/>
      <c r="AH13" s="545"/>
      <c r="AI13" s="545"/>
      <c r="AJ13" s="545"/>
      <c r="AK13" s="545"/>
      <c r="AM13" s="129"/>
      <c r="AN13" s="129" t="str">
        <f t="shared" si="24"/>
        <v xml:space="preserve">Добавить территорию для дифференциации</v>
      </c>
      <c r="AO13" s="129"/>
      <c r="AP13" s="129"/>
      <c r="AQ13" s="57">
        <v>0</v>
      </c>
    </row>
    <row r="14" ht="14.25" hidden="1" customHeight="1">
      <c r="AB14" s="50"/>
      <c r="AI14" s="50"/>
      <c r="AQ14" s="50">
        <v>0</v>
      </c>
    </row>
    <row r="15" ht="14.25" hidden="1" customHeight="1">
      <c r="AC15" s="547"/>
      <c r="AD15" s="547"/>
      <c r="AE15" s="548"/>
      <c r="AF15" s="549"/>
      <c r="AG15" s="550" t="s">
        <v>66</v>
      </c>
      <c r="AH15" s="549"/>
      <c r="AI15" s="550" t="s">
        <v>66</v>
      </c>
      <c r="AQ15" s="50">
        <v>0</v>
      </c>
    </row>
    <row r="16" ht="14.25" hidden="1" customHeight="1">
      <c r="AC16" s="547"/>
      <c r="AD16" s="547"/>
      <c r="AE16" s="526" t="str">
        <f>AF15&amp;"-"&amp;AH15</f>
        <v>-</v>
      </c>
      <c r="AF16" s="550"/>
      <c r="AG16" s="550"/>
      <c r="AH16" s="550"/>
      <c r="AI16" s="550"/>
      <c r="AQ16" s="50">
        <v>0</v>
      </c>
    </row>
    <row r="17" ht="14.25" hidden="1" customHeight="1">
      <c r="AI17" s="50"/>
      <c r="AQ17" s="50">
        <v>0</v>
      </c>
    </row>
    <row r="18" s="53" customFormat="1" ht="22.5" hidden="1" customHeight="1">
      <c r="L18" s="113"/>
      <c r="M18" s="61"/>
      <c r="N18" s="61"/>
      <c r="O18" s="551" t="s">
        <v>417</v>
      </c>
      <c r="P18" s="61"/>
      <c r="Q18" s="552"/>
      <c r="R18" s="552"/>
      <c r="S18" s="496"/>
      <c r="Y18" s="551"/>
      <c r="AA18" s="551"/>
      <c r="AB18" s="53"/>
      <c r="AF18" s="551"/>
      <c r="AH18" s="551"/>
      <c r="AI18" s="53"/>
      <c r="AL18" s="57"/>
      <c r="AM18" s="57"/>
      <c r="AN18" s="57"/>
      <c r="AO18" s="57"/>
      <c r="AP18" s="57"/>
      <c r="AQ18" s="53">
        <v>0</v>
      </c>
    </row>
    <row r="19" s="53" customFormat="1" ht="14.25" hidden="1" customHeight="1">
      <c r="L19" s="113"/>
      <c r="M19" s="61"/>
      <c r="N19" s="61"/>
      <c r="O19" s="61"/>
      <c r="P19" s="61"/>
      <c r="Q19" s="552"/>
      <c r="R19" s="552"/>
      <c r="S19" s="496"/>
      <c r="AB19" s="53"/>
      <c r="AI19" s="53"/>
      <c r="AL19" s="57"/>
      <c r="AM19" s="57"/>
      <c r="AN19" s="57"/>
      <c r="AO19" s="57"/>
      <c r="AP19" s="57"/>
      <c r="AQ19" s="53">
        <v>0</v>
      </c>
    </row>
    <row r="20" s="53" customFormat="1" ht="12" hidden="1" customHeight="1">
      <c r="L20" s="113"/>
      <c r="M20" s="61"/>
      <c r="N20" s="61"/>
      <c r="O20" s="495" t="s">
        <v>418</v>
      </c>
      <c r="P20" s="61"/>
      <c r="Q20" s="701"/>
      <c r="R20" s="701"/>
      <c r="S20" s="496"/>
      <c r="T20" s="53" t="s">
        <v>419</v>
      </c>
      <c r="Z20" s="151" t="s">
        <v>420</v>
      </c>
      <c r="AB20" s="151" t="s">
        <v>421</v>
      </c>
      <c r="AC20" s="53" t="s">
        <v>419</v>
      </c>
      <c r="AG20" s="151" t="s">
        <v>422</v>
      </c>
      <c r="AI20" s="151" t="s">
        <v>421</v>
      </c>
      <c r="AQ20" s="53">
        <v>0</v>
      </c>
    </row>
    <row r="21" ht="14.25" hidden="1" customHeight="1">
      <c r="O21" s="495"/>
      <c r="AQ21" s="50">
        <v>0</v>
      </c>
    </row>
    <row r="22" ht="14.25" hidden="1" customHeight="1">
      <c r="O22" s="495"/>
      <c r="AQ22" s="50">
        <v>0</v>
      </c>
    </row>
    <row r="23" ht="14.65" customHeight="1">
      <c r="Q23" s="553"/>
      <c r="R23" s="553"/>
      <c r="S23" s="554"/>
      <c r="T23" s="91"/>
      <c r="U23" s="91"/>
      <c r="V23" s="50"/>
      <c r="W23" s="50"/>
      <c r="X23" s="50"/>
      <c r="Y23" s="50"/>
      <c r="Z23" s="50"/>
      <c r="AA23" s="50"/>
      <c r="AB23" s="50"/>
      <c r="AC23" s="50"/>
      <c r="AD23" s="50"/>
      <c r="AE23" s="50"/>
      <c r="AF23" s="50"/>
      <c r="AG23" s="50"/>
      <c r="AH23" s="50"/>
      <c r="AI23" s="50"/>
      <c r="AQ23" s="50">
        <v>14</v>
      </c>
    </row>
    <row r="24" ht="14.65" customHeight="1">
      <c r="Q24" s="553"/>
      <c r="R24" s="553"/>
      <c r="S24" s="466"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6"/>
      <c r="U24" s="466"/>
      <c r="V24" s="466"/>
      <c r="W24" s="466"/>
      <c r="X24" s="466"/>
      <c r="Y24" s="466"/>
      <c r="Z24" s="466"/>
      <c r="AA24" s="466"/>
      <c r="AB24" s="466"/>
      <c r="AC24" s="466"/>
      <c r="AD24" s="466"/>
      <c r="AE24" s="466"/>
      <c r="AF24" s="466"/>
      <c r="AG24" s="466"/>
      <c r="AH24" s="466"/>
      <c r="AI24" s="240"/>
      <c r="AQ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0"/>
      <c r="AK27" s="559"/>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95"/>
      <c r="M28" s="151"/>
      <c r="N28" s="151"/>
      <c r="O28" s="151"/>
      <c r="S28" s="556" t="s">
        <v>423</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0"/>
      <c r="AK28" s="559"/>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95"/>
      <c r="M29" s="151"/>
      <c r="N29" s="151"/>
      <c r="O29" s="151"/>
      <c r="S29" s="556" t="s">
        <v>424</v>
      </c>
      <c r="T29" s="556"/>
      <c r="U29" s="557"/>
      <c r="V29" s="558" t="str">
        <f>IF(TITLE_NUMBER_PR_CHANGE="",IF(TITLE_NUMBER_PR="","",TITLE_NUMBER_PR),TITLE_NUMBER_PR_CHANGE)</f>
        <v>ПГ/01/950</v>
      </c>
      <c r="W29" s="558"/>
      <c r="X29" s="558"/>
      <c r="Y29" s="558"/>
      <c r="Z29" s="558"/>
      <c r="AA29" s="558"/>
      <c r="AB29" s="50"/>
      <c r="AC29" s="558" t="str">
        <f>IF(TITLE_NUMBER_PR_CHANGE="",IF(TITLE_NUMBER_PR="","",TITLE_NUMBER_PR),TITLE_NUMBER_PR_CHANGE)</f>
        <v>ПГ/01/950</v>
      </c>
      <c r="AD29" s="558"/>
      <c r="AE29" s="558"/>
      <c r="AF29" s="558"/>
      <c r="AG29" s="558"/>
      <c r="AH29" s="558"/>
      <c r="AI29" s="50"/>
      <c r="AJ29" s="50"/>
      <c r="AK29" s="559"/>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0"/>
      <c r="AK30" s="559"/>
      <c r="AL30" s="129"/>
      <c r="AM30" s="129"/>
      <c r="AN30" s="129"/>
      <c r="AO30" s="129"/>
      <c r="AP30" s="129"/>
      <c r="AQ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customHeight="1">
      <c r="A32" s="151"/>
      <c r="B32" s="151"/>
      <c r="C32" s="151"/>
      <c r="D32" s="151"/>
      <c r="E32" s="151"/>
      <c r="F32" s="151"/>
      <c r="G32" s="151"/>
      <c r="H32" s="151"/>
      <c r="I32" s="151"/>
      <c r="J32" s="151"/>
      <c r="K32" s="151"/>
      <c r="L32" s="495"/>
      <c r="M32" s="151"/>
      <c r="N32" s="151"/>
      <c r="O32" s="151"/>
      <c r="S32" s="556" t="s">
        <v>425</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0"/>
      <c r="AK32" s="559"/>
      <c r="AL32" s="129"/>
      <c r="AM32" s="129"/>
      <c r="AN32" s="129"/>
      <c r="AO32" s="129"/>
      <c r="AP32" s="129"/>
      <c r="AQ32" s="184">
        <v>0</v>
      </c>
    </row>
    <row r="33" s="184" customFormat="1" ht="18.75" customHeight="1">
      <c r="A33" s="151"/>
      <c r="B33" s="151"/>
      <c r="C33" s="151"/>
      <c r="D33" s="151"/>
      <c r="E33" s="151"/>
      <c r="F33" s="151"/>
      <c r="G33" s="151"/>
      <c r="H33" s="151"/>
      <c r="I33" s="151"/>
      <c r="J33" s="151"/>
      <c r="K33" s="151"/>
      <c r="L33" s="495"/>
      <c r="M33" s="151"/>
      <c r="N33" s="151"/>
      <c r="O33" s="151"/>
      <c r="S33" s="556" t="s">
        <v>426</v>
      </c>
      <c r="T33" s="556"/>
      <c r="U33" s="557"/>
      <c r="V33" s="558" t="str">
        <f>IF(TITLE_NUMBER_PR_CHANGE="",IF(TITLE_NUMBER_PR="","",TITLE_NUMBER_PR),TITLE_NUMBER_PR_CHANGE)</f>
        <v>ПГ/01/950</v>
      </c>
      <c r="W33" s="558"/>
      <c r="X33" s="558"/>
      <c r="Y33" s="558"/>
      <c r="Z33" s="558"/>
      <c r="AA33" s="558"/>
      <c r="AB33" s="50"/>
      <c r="AC33" s="558" t="str">
        <f>IF(TITLE_NUMBER_PR_CHANGE="",IF(TITLE_NUMBER_PR="","",TITLE_NUMBER_PR),TITLE_NUMBER_PR_CHANGE)</f>
        <v>ПГ/01/950</v>
      </c>
      <c r="AD33" s="558"/>
      <c r="AE33" s="558"/>
      <c r="AF33" s="558"/>
      <c r="AG33" s="558"/>
      <c r="AH33" s="558"/>
      <c r="AI33" s="50"/>
      <c r="AJ33" s="50"/>
      <c r="AK33" s="559"/>
      <c r="AL33" s="129"/>
      <c r="AM33" s="129"/>
      <c r="AN33" s="129"/>
      <c r="AO33" s="129"/>
      <c r="AP33" s="129"/>
      <c r="AQ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427</v>
      </c>
      <c r="AC34" s="50"/>
      <c r="AD34" s="50"/>
      <c r="AE34" s="50"/>
      <c r="AF34" s="50"/>
      <c r="AG34" s="50"/>
      <c r="AH34" s="50"/>
      <c r="AI34" s="57" t="s">
        <v>427</v>
      </c>
      <c r="AL34" s="129"/>
      <c r="AM34" s="129"/>
      <c r="AN34" s="129"/>
      <c r="AO34" s="129"/>
      <c r="AP34" s="129"/>
      <c r="AQ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553"/>
      <c r="R36" s="553"/>
      <c r="S36" s="157" t="s">
        <v>302</v>
      </c>
      <c r="T36" s="157"/>
      <c r="U36" s="157"/>
      <c r="V36" s="157"/>
      <c r="W36" s="157"/>
      <c r="X36" s="157"/>
      <c r="Y36" s="157"/>
      <c r="Z36" s="157"/>
      <c r="AA36" s="157"/>
      <c r="AB36" s="157"/>
      <c r="AC36" s="157"/>
      <c r="AD36" s="157"/>
      <c r="AE36" s="157"/>
      <c r="AF36" s="157"/>
      <c r="AG36" s="157"/>
      <c r="AH36" s="157"/>
      <c r="AI36" s="157"/>
      <c r="AJ36" s="157"/>
      <c r="AK36" s="157" t="s">
        <v>303</v>
      </c>
      <c r="AQ36" s="50">
        <v>14</v>
      </c>
    </row>
    <row r="37" ht="14.65" customHeight="1">
      <c r="Q37" s="553"/>
      <c r="R37" s="553"/>
      <c r="S37" s="498" t="s">
        <v>88</v>
      </c>
      <c r="T37" s="362" t="s">
        <v>428</v>
      </c>
      <c r="U37" s="563"/>
      <c r="V37" s="564" t="s">
        <v>429</v>
      </c>
      <c r="W37" s="565"/>
      <c r="X37" s="565"/>
      <c r="Y37" s="565"/>
      <c r="Z37" s="565"/>
      <c r="AA37" s="566"/>
      <c r="AB37" s="567" t="s">
        <v>430</v>
      </c>
      <c r="AC37" s="564" t="s">
        <v>429</v>
      </c>
      <c r="AD37" s="565"/>
      <c r="AE37" s="565"/>
      <c r="AF37" s="565"/>
      <c r="AG37" s="565"/>
      <c r="AH37" s="566"/>
      <c r="AI37" s="567" t="s">
        <v>431</v>
      </c>
      <c r="AJ37" s="568" t="s">
        <v>432</v>
      </c>
      <c r="AK37" s="157"/>
      <c r="AQ37" s="50">
        <v>14</v>
      </c>
    </row>
    <row r="38" ht="35.649999999999999" customHeight="1">
      <c r="Q38" s="553"/>
      <c r="R38" s="553"/>
      <c r="S38" s="498"/>
      <c r="T38" s="362"/>
      <c r="U38" s="569"/>
      <c r="V38" s="324" t="s">
        <v>488</v>
      </c>
      <c r="W38" s="73" t="s">
        <v>435</v>
      </c>
      <c r="X38" s="72"/>
      <c r="Y38" s="73" t="s">
        <v>436</v>
      </c>
      <c r="Z38" s="145"/>
      <c r="AA38" s="72"/>
      <c r="AB38" s="571"/>
      <c r="AC38" s="324" t="s">
        <v>488</v>
      </c>
      <c r="AD38" s="73" t="s">
        <v>435</v>
      </c>
      <c r="AE38" s="72"/>
      <c r="AF38" s="73" t="s">
        <v>436</v>
      </c>
      <c r="AG38" s="145"/>
      <c r="AH38" s="72"/>
      <c r="AI38" s="571"/>
      <c r="AJ38" s="572"/>
      <c r="AK38" s="157"/>
      <c r="AQ38" s="50">
        <v>34</v>
      </c>
    </row>
    <row r="39" ht="35.649999999999999" customHeight="1">
      <c r="A39" s="151"/>
      <c r="B39" s="151" t="s">
        <v>135</v>
      </c>
      <c r="C39" s="151" t="s">
        <v>136</v>
      </c>
      <c r="D39" s="151" t="s">
        <v>137</v>
      </c>
      <c r="E39" s="495" t="s">
        <v>437</v>
      </c>
      <c r="F39" s="495" t="s">
        <v>438</v>
      </c>
      <c r="G39" s="495" t="s">
        <v>439</v>
      </c>
      <c r="H39" s="495"/>
      <c r="I39" s="495" t="s">
        <v>489</v>
      </c>
      <c r="J39" s="495" t="s">
        <v>442</v>
      </c>
      <c r="K39" s="495" t="s">
        <v>490</v>
      </c>
      <c r="L39" s="495" t="s">
        <v>418</v>
      </c>
      <c r="Q39" s="553"/>
      <c r="R39" s="553"/>
      <c r="S39" s="498"/>
      <c r="T39" s="362"/>
      <c r="U39" s="573"/>
      <c r="V39" s="324" t="s">
        <v>491</v>
      </c>
      <c r="W39" s="246" t="s">
        <v>492</v>
      </c>
      <c r="X39" s="246" t="s">
        <v>493</v>
      </c>
      <c r="Y39" s="246" t="s">
        <v>446</v>
      </c>
      <c r="Z39" s="429" t="s">
        <v>447</v>
      </c>
      <c r="AA39" s="431"/>
      <c r="AB39" s="575"/>
      <c r="AC39" s="324" t="s">
        <v>491</v>
      </c>
      <c r="AD39" s="246" t="s">
        <v>492</v>
      </c>
      <c r="AE39" s="246" t="s">
        <v>493</v>
      </c>
      <c r="AF39" s="246" t="s">
        <v>446</v>
      </c>
      <c r="AG39" s="429" t="s">
        <v>447</v>
      </c>
      <c r="AH39" s="431"/>
      <c r="AI39" s="575"/>
      <c r="AJ39" s="576"/>
      <c r="AK39" s="157"/>
      <c r="AQ39" s="50">
        <v>34</v>
      </c>
    </row>
    <row r="40" s="131" customFormat="1" ht="11.25" hidden="1"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2">
        <f ca="1">OFFSET(AJ40,0,-1)</f>
        <v>14</v>
      </c>
      <c r="AK40" s="583">
        <f ca="1">OFFSET(AK40,0,-1)+1</f>
        <v>15</v>
      </c>
      <c r="AL40" s="57"/>
      <c r="AM40" s="57"/>
      <c r="AN40" s="57"/>
      <c r="AO40" s="57"/>
      <c r="AP40" s="57"/>
      <c r="AQ40" s="131">
        <v>0</v>
      </c>
    </row>
    <row r="41" ht="24" customHeight="1">
      <c r="A41" s="493" t="s">
        <v>223</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0</v>
      </c>
      <c r="T41" s="499" t="s">
        <v>123</v>
      </c>
      <c r="U41" s="500"/>
      <c r="V41" s="501"/>
      <c r="W41" s="502"/>
      <c r="X41" s="502"/>
      <c r="Y41" s="502"/>
      <c r="Z41" s="502"/>
      <c r="AA41" s="502"/>
      <c r="AB41" s="503"/>
      <c r="AC41" s="501" t="str">
        <f>INDEX(PT_DIFFERENTIATION_NTAR,MATCH(A41,PT_DIFFERENTIATION_NTAR_ID,0))</f>
        <v/>
      </c>
      <c r="AD41" s="502"/>
      <c r="AE41" s="502"/>
      <c r="AF41" s="502"/>
      <c r="AG41" s="502"/>
      <c r="AH41" s="502"/>
      <c r="AI41" s="502"/>
      <c r="AJ41" s="503"/>
      <c r="AK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4"/>
        <v xml:space="preserve">Наименование тарифа</v>
      </c>
      <c r="AO41" s="129"/>
      <c r="AP41" s="129"/>
      <c r="AQ41" s="50">
        <v>23</v>
      </c>
    </row>
    <row r="42" ht="24" customHeight="1">
      <c r="A42" s="493" t="s">
        <v>223</v>
      </c>
      <c r="B42" s="493" t="s">
        <v>224</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v>
      </c>
      <c r="T42" s="508" t="s">
        <v>399</v>
      </c>
      <c r="U42" s="500"/>
      <c r="V42" s="501"/>
      <c r="W42" s="502"/>
      <c r="X42" s="502"/>
      <c r="Y42" s="502"/>
      <c r="Z42" s="502"/>
      <c r="AA42" s="502"/>
      <c r="AB42" s="503"/>
      <c r="AC42" s="501" t="str">
        <f>INDEX(PT_DIFFERENTIATION_TER,MATCH(B42,PT_DIFFERENTIATION_TER_ID,0))</f>
        <v/>
      </c>
      <c r="AD42" s="502"/>
      <c r="AE42" s="502"/>
      <c r="AF42" s="502"/>
      <c r="AG42" s="502"/>
      <c r="AH42" s="502"/>
      <c r="AI42" s="502"/>
      <c r="AJ42" s="503"/>
      <c r="AK42" s="504" t="s">
        <v>400</v>
      </c>
      <c r="AM42" s="129"/>
      <c r="AN42" s="129" t="str">
        <f t="shared" si="24"/>
        <v xml:space="preserve">Территория действия тарифа</v>
      </c>
      <c r="AO42" s="129"/>
      <c r="AP42" s="129"/>
      <c r="AQ42" s="50">
        <v>23</v>
      </c>
    </row>
    <row r="43" ht="24" customHeight="1">
      <c r="A43" s="493" t="s">
        <v>223</v>
      </c>
      <c r="B43" s="493" t="s">
        <v>224</v>
      </c>
      <c r="C43" s="493" t="s">
        <v>225</v>
      </c>
      <c r="D43" s="493"/>
      <c r="E43" s="505"/>
      <c r="F43" s="505"/>
      <c r="G43" s="494">
        <v>1</v>
      </c>
      <c r="H43" s="493"/>
      <c r="I43" s="493"/>
      <c r="J43" s="493"/>
      <c r="K43" s="493"/>
      <c r="L43" s="495"/>
      <c r="M43" s="496"/>
      <c r="N43" s="496"/>
      <c r="O43" s="496"/>
      <c r="P43" s="509"/>
      <c r="Q43" s="506"/>
      <c r="R43" s="507"/>
      <c r="S43" s="498" t="str">
        <f>INDEX(PT_DIFFERENTIATION_NUM_CS,MATCH(C43,PT_DIFFERENTIATION_CS_ID,0))</f>
        <v>..</v>
      </c>
      <c r="T43" s="510" t="s">
        <v>480</v>
      </c>
      <c r="U43" s="500"/>
      <c r="V43" s="501"/>
      <c r="W43" s="502"/>
      <c r="X43" s="502"/>
      <c r="Y43" s="502"/>
      <c r="Z43" s="502"/>
      <c r="AA43" s="502"/>
      <c r="AB43" s="503"/>
      <c r="AC43" s="501" t="str">
        <f>INDEX(PT_DIFFERENTIATION_CS,MATCH(C43,PT_DIFFERENTIATION_CS_ID,0))</f>
        <v/>
      </c>
      <c r="AD43" s="502"/>
      <c r="AE43" s="502"/>
      <c r="AF43" s="502"/>
      <c r="AG43" s="502"/>
      <c r="AH43" s="502"/>
      <c r="AI43" s="502"/>
      <c r="AJ43" s="503"/>
      <c r="AK43" s="504" t="s">
        <v>481</v>
      </c>
      <c r="AM43" s="129"/>
      <c r="AN43" s="129" t="str">
        <f t="shared" si="24"/>
        <v xml:space="preserve">Наименование централизованной системы холодного водоснабжения</v>
      </c>
      <c r="AO43" s="129"/>
      <c r="AP43" s="129"/>
      <c r="AQ43" s="50">
        <v>23</v>
      </c>
    </row>
    <row r="44" ht="24" customHeight="1">
      <c r="A44" s="493" t="s">
        <v>223</v>
      </c>
      <c r="B44" s="493" t="s">
        <v>224</v>
      </c>
      <c r="C44" s="493" t="s">
        <v>225</v>
      </c>
      <c r="D44" s="493" t="s">
        <v>494</v>
      </c>
      <c r="E44" s="505"/>
      <c r="F44" s="505"/>
      <c r="G44" s="505"/>
      <c r="H44" s="505"/>
      <c r="I44" s="512" t="str">
        <f>S43&amp;".1"</f>
        <v>...1</v>
      </c>
      <c r="J44" s="493"/>
      <c r="K44" s="493"/>
      <c r="L44" s="495"/>
      <c r="P44" s="132">
        <v>1</v>
      </c>
      <c r="Q44" s="132"/>
      <c r="R44" s="513"/>
      <c r="S44" s="498" t="str">
        <f>$I44</f>
        <v>...1</v>
      </c>
      <c r="T44" s="514" t="s">
        <v>482</v>
      </c>
      <c r="U44" s="500"/>
      <c r="V44" s="689"/>
      <c r="W44" s="690"/>
      <c r="X44" s="690"/>
      <c r="Y44" s="690"/>
      <c r="Z44" s="690"/>
      <c r="AA44" s="690"/>
      <c r="AB44" s="691"/>
      <c r="AC44" s="692"/>
      <c r="AD44" s="693"/>
      <c r="AE44" s="693"/>
      <c r="AF44" s="693"/>
      <c r="AG44" s="693"/>
      <c r="AH44" s="693"/>
      <c r="AI44" s="693"/>
      <c r="AJ44" s="694"/>
      <c r="AK44" s="504" t="s">
        <v>483</v>
      </c>
      <c r="AM44" s="129"/>
      <c r="AN44" s="129" t="str">
        <f t="shared" si="24"/>
        <v xml:space="preserve">Наименование признака дифференциации</v>
      </c>
      <c r="AO44" s="129"/>
      <c r="AP44" s="129"/>
      <c r="AQ44" s="50">
        <v>23</v>
      </c>
    </row>
    <row r="45" ht="24" customHeight="1">
      <c r="A45" s="493" t="s">
        <v>223</v>
      </c>
      <c r="B45" s="493" t="s">
        <v>224</v>
      </c>
      <c r="C45" s="493" t="s">
        <v>225</v>
      </c>
      <c r="D45" s="493" t="s">
        <v>494</v>
      </c>
      <c r="E45" s="505"/>
      <c r="F45" s="505"/>
      <c r="G45" s="505"/>
      <c r="H45" s="505"/>
      <c r="I45" s="517"/>
      <c r="J45" s="512" t="str">
        <f>I44&amp;".1"</f>
        <v>...1.1</v>
      </c>
      <c r="K45" s="493"/>
      <c r="L45" s="495" t="s">
        <v>408</v>
      </c>
      <c r="P45" s="132"/>
      <c r="Q45" s="132">
        <v>1</v>
      </c>
      <c r="R45" s="518"/>
      <c r="S45" s="498" t="str">
        <f>$J45</f>
        <v>...1.1</v>
      </c>
      <c r="T45" s="519" t="s">
        <v>409</v>
      </c>
      <c r="U45" s="500"/>
      <c r="V45" s="445"/>
      <c r="W45" s="515"/>
      <c r="X45" s="515"/>
      <c r="Y45" s="515"/>
      <c r="Z45" s="515"/>
      <c r="AA45" s="515"/>
      <c r="AB45" s="516"/>
      <c r="AC45" s="445"/>
      <c r="AD45" s="515"/>
      <c r="AE45" s="515"/>
      <c r="AF45" s="515"/>
      <c r="AG45" s="515"/>
      <c r="AH45" s="515"/>
      <c r="AI45" s="515"/>
      <c r="AJ45" s="516"/>
      <c r="AK45" s="631" t="s">
        <v>484</v>
      </c>
      <c r="AM45" s="129"/>
      <c r="AN45" s="129" t="str">
        <f t="shared" si="24"/>
        <v xml:space="preserve">Группа потребителей</v>
      </c>
      <c r="AO45" s="129"/>
      <c r="AP45" s="129"/>
      <c r="AQ45" s="50">
        <v>23</v>
      </c>
    </row>
    <row r="46" ht="24" customHeight="1">
      <c r="A46" s="493" t="s">
        <v>223</v>
      </c>
      <c r="B46" s="493" t="s">
        <v>224</v>
      </c>
      <c r="C46" s="493" t="s">
        <v>225</v>
      </c>
      <c r="D46" s="493" t="s">
        <v>494</v>
      </c>
      <c r="E46" s="505"/>
      <c r="F46" s="505"/>
      <c r="G46" s="505"/>
      <c r="H46" s="505"/>
      <c r="I46" s="517"/>
      <c r="J46" s="517"/>
      <c r="K46" s="512" t="str">
        <f>J45&amp;".1"</f>
        <v>...1.1.1</v>
      </c>
      <c r="L46" s="495"/>
      <c r="P46" s="132"/>
      <c r="Q46" s="132"/>
      <c r="R46" s="518">
        <v>1</v>
      </c>
      <c r="S46" s="498" t="str">
        <f>$K46</f>
        <v>...1.1.1</v>
      </c>
      <c r="T46" s="695"/>
      <c r="U46" s="500"/>
      <c r="V46" s="547"/>
      <c r="W46" s="547"/>
      <c r="X46" s="548"/>
      <c r="Y46" s="549"/>
      <c r="Z46" s="550" t="s">
        <v>66</v>
      </c>
      <c r="AA46" s="549"/>
      <c r="AB46" s="550" t="s">
        <v>66</v>
      </c>
      <c r="AC46" s="521"/>
      <c r="AD46" s="521"/>
      <c r="AE46" s="523"/>
      <c r="AF46" s="524"/>
      <c r="AG46" s="224" t="s">
        <v>66</v>
      </c>
      <c r="AH46" s="584"/>
      <c r="AI46" s="224" t="s">
        <v>19</v>
      </c>
      <c r="AJ46" s="696"/>
      <c r="AK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4"/>
        <v/>
      </c>
      <c r="AO46" s="129"/>
      <c r="AP46" s="129"/>
      <c r="AQ46" s="50">
        <v>23</v>
      </c>
    </row>
    <row r="47" ht="0" customHeight="1">
      <c r="A47" s="493" t="s">
        <v>223</v>
      </c>
      <c r="B47" s="493" t="s">
        <v>224</v>
      </c>
      <c r="C47" s="493" t="s">
        <v>225</v>
      </c>
      <c r="D47" s="493" t="s">
        <v>494</v>
      </c>
      <c r="E47" s="505"/>
      <c r="F47" s="505"/>
      <c r="G47" s="505"/>
      <c r="H47" s="505"/>
      <c r="I47" s="517"/>
      <c r="J47" s="517"/>
      <c r="K47" s="512"/>
      <c r="L47" s="495"/>
      <c r="P47" s="132"/>
      <c r="Q47" s="132"/>
      <c r="R47" s="518"/>
      <c r="S47" s="472"/>
      <c r="T47" s="500"/>
      <c r="U47" s="500"/>
      <c r="V47" s="547"/>
      <c r="W47" s="547"/>
      <c r="X47" s="526" t="str">
        <f>Y46&amp;"-"&amp;AA46</f>
        <v>-</v>
      </c>
      <c r="Y47" s="550"/>
      <c r="Z47" s="550"/>
      <c r="AA47" s="550"/>
      <c r="AB47" s="550"/>
      <c r="AC47" s="522"/>
      <c r="AD47" s="522"/>
      <c r="AE47" s="526" t="str">
        <f>AF46&amp;"-"&amp;AH46</f>
        <v>-</v>
      </c>
      <c r="AF47" s="527"/>
      <c r="AG47" s="224"/>
      <c r="AH47" s="586"/>
      <c r="AI47" s="224"/>
      <c r="AJ47" s="698"/>
      <c r="AK47" s="697"/>
      <c r="AM47" s="129"/>
      <c r="AN47" s="129" t="str">
        <f t="shared" si="24"/>
        <v/>
      </c>
      <c r="AO47" s="129"/>
      <c r="AP47" s="129"/>
      <c r="AQ47" s="50">
        <v>0</v>
      </c>
    </row>
    <row r="48" ht="21" customHeight="1">
      <c r="A48" s="493" t="s">
        <v>223</v>
      </c>
      <c r="B48" s="493" t="s">
        <v>224</v>
      </c>
      <c r="C48" s="493" t="s">
        <v>225</v>
      </c>
      <c r="D48" s="493" t="s">
        <v>494</v>
      </c>
      <c r="E48" s="505"/>
      <c r="F48" s="505"/>
      <c r="G48" s="505"/>
      <c r="H48" s="505"/>
      <c r="I48" s="517"/>
      <c r="J48" s="512"/>
      <c r="K48" s="493"/>
      <c r="L48" s="495"/>
      <c r="P48" s="132"/>
      <c r="Q48" s="132"/>
      <c r="R48" s="513"/>
      <c r="S48" s="529"/>
      <c r="T48" s="533" t="s">
        <v>485</v>
      </c>
      <c r="U48" s="214"/>
      <c r="V48" s="214"/>
      <c r="W48" s="214"/>
      <c r="X48" s="214"/>
      <c r="Y48" s="214"/>
      <c r="Z48" s="214"/>
      <c r="AA48" s="214"/>
      <c r="AB48" s="214"/>
      <c r="AC48" s="214"/>
      <c r="AD48" s="214"/>
      <c r="AE48" s="214"/>
      <c r="AF48" s="214"/>
      <c r="AG48" s="214"/>
      <c r="AH48" s="214"/>
      <c r="AI48" s="214"/>
      <c r="AJ48" s="214"/>
      <c r="AK48" s="504" t="s">
        <v>486</v>
      </c>
      <c r="AM48" s="129"/>
      <c r="AN48" s="129" t="str">
        <f t="shared" si="24"/>
        <v xml:space="preserve">Добавить значение признака дифференциации</v>
      </c>
      <c r="AO48" s="129"/>
      <c r="AP48" s="129"/>
      <c r="AQ48" s="50">
        <v>20</v>
      </c>
    </row>
    <row r="49" ht="22" customHeight="1">
      <c r="A49" s="493" t="s">
        <v>223</v>
      </c>
      <c r="B49" s="493" t="s">
        <v>224</v>
      </c>
      <c r="C49" s="493" t="s">
        <v>225</v>
      </c>
      <c r="D49" s="493" t="s">
        <v>494</v>
      </c>
      <c r="E49" s="505"/>
      <c r="F49" s="505"/>
      <c r="G49" s="505"/>
      <c r="H49" s="505"/>
      <c r="I49" s="512"/>
      <c r="J49" s="493"/>
      <c r="K49" s="493"/>
      <c r="L49" s="495"/>
      <c r="P49" s="132"/>
      <c r="Q49" s="132"/>
      <c r="R49" s="513"/>
      <c r="S49" s="529"/>
      <c r="T49" s="537" t="s">
        <v>414</v>
      </c>
      <c r="U49" s="214"/>
      <c r="V49" s="214"/>
      <c r="W49" s="214"/>
      <c r="X49" s="214"/>
      <c r="Y49" s="214"/>
      <c r="Z49" s="214"/>
      <c r="AA49" s="214"/>
      <c r="AB49" s="534"/>
      <c r="AC49" s="214"/>
      <c r="AD49" s="214"/>
      <c r="AE49" s="214"/>
      <c r="AF49" s="214"/>
      <c r="AG49" s="214"/>
      <c r="AH49" s="214"/>
      <c r="AI49" s="534"/>
      <c r="AJ49" s="214"/>
      <c r="AK49" s="699"/>
      <c r="AM49" s="129"/>
      <c r="AN49" s="129" t="str">
        <f t="shared" si="24"/>
        <v xml:space="preserve">Добавить группу потребителей</v>
      </c>
      <c r="AO49" s="129"/>
      <c r="AP49" s="129"/>
      <c r="AQ49" s="50">
        <v>21</v>
      </c>
    </row>
    <row r="50" ht="22" customHeight="1">
      <c r="A50" s="493" t="s">
        <v>223</v>
      </c>
      <c r="B50" s="493" t="s">
        <v>224</v>
      </c>
      <c r="C50" s="493" t="s">
        <v>225</v>
      </c>
      <c r="D50" s="493" t="s">
        <v>494</v>
      </c>
      <c r="E50" s="505"/>
      <c r="F50" s="505"/>
      <c r="G50" s="505"/>
      <c r="H50" s="494"/>
      <c r="I50" s="493"/>
      <c r="J50" s="493"/>
      <c r="K50" s="493"/>
      <c r="L50" s="495"/>
      <c r="M50" s="496"/>
      <c r="N50" s="496"/>
      <c r="O50" s="53"/>
      <c r="P50" s="143"/>
      <c r="Q50" s="536"/>
      <c r="R50" s="497"/>
      <c r="S50" s="529"/>
      <c r="T50" s="700" t="s">
        <v>487</v>
      </c>
      <c r="U50" s="214"/>
      <c r="V50" s="214"/>
      <c r="W50" s="214"/>
      <c r="X50" s="214"/>
      <c r="Y50" s="214"/>
      <c r="Z50" s="214"/>
      <c r="AA50" s="214"/>
      <c r="AB50" s="534"/>
      <c r="AC50" s="214"/>
      <c r="AD50" s="214"/>
      <c r="AE50" s="214"/>
      <c r="AF50" s="214"/>
      <c r="AG50" s="214"/>
      <c r="AH50" s="214"/>
      <c r="AI50" s="534"/>
      <c r="AJ50" s="214"/>
      <c r="AK50" s="535"/>
      <c r="AM50" s="129"/>
      <c r="AN50" s="129" t="str">
        <f t="shared" si="24"/>
        <v xml:space="preserve">Добавить наименование признака дифференциации</v>
      </c>
      <c r="AO50" s="129"/>
      <c r="AP50" s="129"/>
      <c r="AQ50" s="50">
        <v>21</v>
      </c>
    </row>
    <row r="51" s="57" customFormat="1" ht="0" customHeight="1">
      <c r="A51" s="133" t="s">
        <v>223</v>
      </c>
      <c r="B51" s="133" t="s">
        <v>224</v>
      </c>
      <c r="C51" s="133"/>
      <c r="D51" s="133"/>
      <c r="E51" s="505"/>
      <c r="F51" s="494"/>
      <c r="G51" s="133"/>
      <c r="H51" s="133"/>
      <c r="I51" s="133"/>
      <c r="J51" s="133"/>
      <c r="K51" s="133"/>
      <c r="L51" s="212"/>
      <c r="M51" s="542"/>
      <c r="N51" s="542"/>
      <c r="P51" s="167"/>
      <c r="Q51" s="538"/>
      <c r="R51" s="167"/>
      <c r="S51" s="543"/>
      <c r="T51" s="546" t="s">
        <v>238</v>
      </c>
      <c r="U51" s="545"/>
      <c r="V51" s="545"/>
      <c r="W51" s="545"/>
      <c r="X51" s="545"/>
      <c r="Y51" s="545"/>
      <c r="Z51" s="545"/>
      <c r="AA51" s="545"/>
      <c r="AB51" s="545"/>
      <c r="AC51" s="545"/>
      <c r="AD51" s="545"/>
      <c r="AE51" s="545"/>
      <c r="AF51" s="545"/>
      <c r="AG51" s="545"/>
      <c r="AH51" s="545"/>
      <c r="AI51" s="545"/>
      <c r="AJ51" s="545"/>
      <c r="AK51" s="545"/>
      <c r="AM51" s="129"/>
      <c r="AN51" s="129" t="str">
        <f t="shared" si="24"/>
        <v xml:space="preserve">Добавить централизованную систему для дифференциации</v>
      </c>
      <c r="AO51" s="129"/>
      <c r="AP51" s="129"/>
      <c r="AQ51" s="57">
        <v>0</v>
      </c>
    </row>
    <row r="52" s="57" customFormat="1" ht="0" customHeight="1">
      <c r="A52" s="133" t="s">
        <v>223</v>
      </c>
      <c r="B52" s="133"/>
      <c r="C52" s="133"/>
      <c r="D52" s="133"/>
      <c r="E52" s="494"/>
      <c r="F52" s="133"/>
      <c r="G52" s="133"/>
      <c r="H52" s="133"/>
      <c r="I52" s="133"/>
      <c r="J52" s="133"/>
      <c r="K52" s="133"/>
      <c r="L52" s="212"/>
      <c r="M52" s="542"/>
      <c r="N52" s="542"/>
      <c r="O52" s="57"/>
      <c r="P52" s="167"/>
      <c r="Q52" s="538"/>
      <c r="R52" s="167"/>
      <c r="S52" s="543"/>
      <c r="T52" s="546" t="s">
        <v>239</v>
      </c>
      <c r="U52" s="545"/>
      <c r="V52" s="545"/>
      <c r="W52" s="545"/>
      <c r="X52" s="545"/>
      <c r="Y52" s="545"/>
      <c r="Z52" s="545"/>
      <c r="AA52" s="545"/>
      <c r="AB52" s="545"/>
      <c r="AC52" s="545"/>
      <c r="AD52" s="545"/>
      <c r="AE52" s="545"/>
      <c r="AF52" s="545"/>
      <c r="AG52" s="545"/>
      <c r="AH52" s="545"/>
      <c r="AI52" s="545"/>
      <c r="AJ52" s="545"/>
      <c r="AK52" s="545"/>
      <c r="AM52" s="129"/>
      <c r="AN52" s="129" t="str">
        <f t="shared" si="24"/>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240</v>
      </c>
      <c r="U53" s="545"/>
      <c r="V53" s="545"/>
      <c r="W53" s="545"/>
      <c r="X53" s="545"/>
      <c r="Y53" s="545"/>
      <c r="Z53" s="545"/>
      <c r="AA53" s="545"/>
      <c r="AB53" s="545"/>
      <c r="AC53" s="545"/>
      <c r="AD53" s="545"/>
      <c r="AE53" s="545"/>
      <c r="AF53" s="545"/>
      <c r="AG53" s="545"/>
      <c r="AH53" s="545"/>
      <c r="AI53" s="545"/>
      <c r="AJ53" s="545"/>
      <c r="AK53" s="545"/>
      <c r="AM53" s="129"/>
      <c r="AN53" s="129" t="str">
        <f t="shared" si="24"/>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Q55" s="50">
        <v>14</v>
      </c>
    </row>
    <row r="56" ht="14.65" customHeight="1">
      <c r="O56" s="53"/>
      <c r="AQ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2001F-00FE-4F48-9CCE-00AF00A3004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5B005C-0012-4009-BDE5-00FA00430088}"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CB009F-0092-40C7-87DA-00B400C800E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0007C-0047-4C69-84D1-000C00360009}"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3"/>
      <c r="AK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5">IF(T2="","",T2)</f>
        <v xml:space="preserve">Наименование тарифа</v>
      </c>
      <c r="AO2" s="129"/>
      <c r="AP2" s="129"/>
      <c r="AQ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3"/>
      <c r="AC3" s="501" t="e">
        <f>INDEX(PT_DIFFERENTIATION_TER,MATCH(B3,PT_DIFFERENTIATION_TER_ID,0))</f>
        <v>#VALUE!</v>
      </c>
      <c r="AD3" s="502"/>
      <c r="AE3" s="502"/>
      <c r="AF3" s="502"/>
      <c r="AG3" s="502"/>
      <c r="AH3" s="502"/>
      <c r="AI3" s="502"/>
      <c r="AJ3" s="503"/>
      <c r="AK3" s="504" t="s">
        <v>400</v>
      </c>
      <c r="AM3" s="129"/>
      <c r="AN3" s="129" t="str">
        <f t="shared" si="25"/>
        <v xml:space="preserve">Территория действия тарифа</v>
      </c>
      <c r="AO3" s="129"/>
      <c r="AP3" s="129"/>
      <c r="AQ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480</v>
      </c>
      <c r="U4" s="500"/>
      <c r="V4" s="501"/>
      <c r="W4" s="502"/>
      <c r="X4" s="502"/>
      <c r="Y4" s="502"/>
      <c r="Z4" s="502"/>
      <c r="AA4" s="502"/>
      <c r="AB4" s="503"/>
      <c r="AC4" s="501" t="e">
        <f>INDEX(PT_DIFFERENTIATION_CS,MATCH(C4,PT_DIFFERENTIATION_CS_ID,0))</f>
        <v>#VALUE!</v>
      </c>
      <c r="AD4" s="502"/>
      <c r="AE4" s="502"/>
      <c r="AF4" s="502"/>
      <c r="AG4" s="502"/>
      <c r="AH4" s="502"/>
      <c r="AI4" s="502"/>
      <c r="AJ4" s="503"/>
      <c r="AK4" s="504" t="s">
        <v>481</v>
      </c>
      <c r="AM4" s="129"/>
      <c r="AN4" s="129" t="str">
        <f t="shared" si="25"/>
        <v xml:space="preserve">Наименование централизованной системы холодного водоснабжения</v>
      </c>
      <c r="AO4" s="129"/>
      <c r="AP4" s="129"/>
      <c r="AQ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482</v>
      </c>
      <c r="U5" s="500"/>
      <c r="V5" s="689"/>
      <c r="W5" s="690"/>
      <c r="X5" s="690"/>
      <c r="Y5" s="690"/>
      <c r="Z5" s="690"/>
      <c r="AA5" s="690"/>
      <c r="AB5" s="691"/>
      <c r="AC5" s="692"/>
      <c r="AD5" s="693"/>
      <c r="AE5" s="693"/>
      <c r="AF5" s="693"/>
      <c r="AG5" s="693"/>
      <c r="AH5" s="693"/>
      <c r="AI5" s="693"/>
      <c r="AJ5" s="694"/>
      <c r="AK5" s="504" t="s">
        <v>483</v>
      </c>
      <c r="AM5" s="129"/>
      <c r="AN5" s="129" t="str">
        <f t="shared" si="25"/>
        <v xml:space="preserve">Наименование признака дифференциации</v>
      </c>
      <c r="AO5" s="129"/>
      <c r="AP5" s="129"/>
      <c r="AQ5" s="50">
        <v>0</v>
      </c>
    </row>
    <row r="6" ht="23.25" hidden="1" customHeight="1">
      <c r="A6" s="493"/>
      <c r="B6" s="493"/>
      <c r="C6" s="493"/>
      <c r="D6" s="493"/>
      <c r="E6" s="505"/>
      <c r="F6" s="505"/>
      <c r="G6" s="505"/>
      <c r="H6" s="505"/>
      <c r="I6" s="517"/>
      <c r="J6" s="512" t="e">
        <f>I5&amp;".1"</f>
        <v>#VALUE!</v>
      </c>
      <c r="K6" s="493"/>
      <c r="L6" s="495" t="s">
        <v>408</v>
      </c>
      <c r="P6" s="132"/>
      <c r="Q6" s="132">
        <v>1</v>
      </c>
      <c r="R6" s="518"/>
      <c r="S6" s="498" t="e">
        <f>$J6</f>
        <v>#VALUE!</v>
      </c>
      <c r="T6" s="519" t="s">
        <v>409</v>
      </c>
      <c r="U6" s="500"/>
      <c r="V6" s="445"/>
      <c r="W6" s="515"/>
      <c r="X6" s="515"/>
      <c r="Y6" s="515"/>
      <c r="Z6" s="515"/>
      <c r="AA6" s="515"/>
      <c r="AB6" s="516"/>
      <c r="AC6" s="445"/>
      <c r="AD6" s="515"/>
      <c r="AE6" s="515"/>
      <c r="AF6" s="515"/>
      <c r="AG6" s="515"/>
      <c r="AH6" s="515"/>
      <c r="AI6" s="515"/>
      <c r="AJ6" s="516"/>
      <c r="AK6" s="631" t="s">
        <v>484</v>
      </c>
      <c r="AM6" s="129"/>
      <c r="AN6" s="129" t="str">
        <f t="shared" si="25"/>
        <v xml:space="preserve">Группа потребителей</v>
      </c>
      <c r="AO6" s="129"/>
      <c r="AP6" s="129"/>
      <c r="AQ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696"/>
      <c r="AK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5"/>
        <v/>
      </c>
      <c r="AO7" s="129"/>
      <c r="AP7" s="129"/>
      <c r="AQ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698"/>
      <c r="AK8" s="697"/>
      <c r="AM8" s="129"/>
      <c r="AN8" s="129" t="str">
        <f t="shared" si="25"/>
        <v/>
      </c>
      <c r="AO8" s="129"/>
      <c r="AP8" s="129"/>
      <c r="AQ8" s="50">
        <v>0</v>
      </c>
    </row>
    <row r="9" ht="21" hidden="1" customHeight="1">
      <c r="A9" s="493"/>
      <c r="B9" s="493"/>
      <c r="C9" s="493"/>
      <c r="D9" s="493"/>
      <c r="E9" s="505"/>
      <c r="F9" s="505"/>
      <c r="G9" s="505"/>
      <c r="H9" s="505"/>
      <c r="I9" s="517"/>
      <c r="J9" s="512"/>
      <c r="K9" s="493"/>
      <c r="L9" s="495"/>
      <c r="P9" s="132"/>
      <c r="Q9" s="132"/>
      <c r="R9" s="513"/>
      <c r="S9" s="529"/>
      <c r="T9" s="533" t="s">
        <v>485</v>
      </c>
      <c r="U9" s="214"/>
      <c r="V9" s="214"/>
      <c r="W9" s="214"/>
      <c r="X9" s="214"/>
      <c r="Y9" s="214"/>
      <c r="Z9" s="214"/>
      <c r="AA9" s="214"/>
      <c r="AB9" s="214"/>
      <c r="AC9" s="214"/>
      <c r="AD9" s="214"/>
      <c r="AE9" s="214"/>
      <c r="AF9" s="214"/>
      <c r="AG9" s="214"/>
      <c r="AH9" s="214"/>
      <c r="AI9" s="214"/>
      <c r="AJ9" s="214"/>
      <c r="AK9" s="504" t="s">
        <v>486</v>
      </c>
      <c r="AM9" s="129"/>
      <c r="AN9" s="129" t="str">
        <f t="shared" si="25"/>
        <v xml:space="preserve">Добавить значение признака дифференциации</v>
      </c>
      <c r="AO9" s="129"/>
      <c r="AP9" s="129"/>
      <c r="AQ9" s="50">
        <v>0</v>
      </c>
    </row>
    <row r="10" ht="21" hidden="1" customHeight="1">
      <c r="A10" s="493"/>
      <c r="B10" s="493"/>
      <c r="C10" s="493"/>
      <c r="D10" s="493"/>
      <c r="E10" s="505"/>
      <c r="F10" s="505"/>
      <c r="G10" s="505"/>
      <c r="H10" s="505"/>
      <c r="I10" s="512"/>
      <c r="J10" s="493"/>
      <c r="K10" s="493"/>
      <c r="L10" s="495"/>
      <c r="P10" s="132"/>
      <c r="Q10" s="132"/>
      <c r="R10" s="513"/>
      <c r="S10" s="529"/>
      <c r="T10" s="537" t="s">
        <v>414</v>
      </c>
      <c r="U10" s="214"/>
      <c r="V10" s="214"/>
      <c r="W10" s="214"/>
      <c r="X10" s="214"/>
      <c r="Y10" s="214"/>
      <c r="Z10" s="214"/>
      <c r="AA10" s="214"/>
      <c r="AB10" s="534"/>
      <c r="AC10" s="214"/>
      <c r="AD10" s="214"/>
      <c r="AE10" s="214"/>
      <c r="AF10" s="214"/>
      <c r="AG10" s="214"/>
      <c r="AH10" s="214"/>
      <c r="AI10" s="534"/>
      <c r="AJ10" s="214"/>
      <c r="AK10" s="699"/>
      <c r="AM10" s="129"/>
      <c r="AN10" s="129" t="str">
        <f t="shared" ref="AN10:AN53" si="26">IF(T10="","",T10)</f>
        <v xml:space="preserve">Добавить группу потребителей</v>
      </c>
      <c r="AO10" s="129"/>
      <c r="AP10" s="129"/>
      <c r="AQ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487</v>
      </c>
      <c r="U11" s="214"/>
      <c r="V11" s="214"/>
      <c r="W11" s="214"/>
      <c r="X11" s="214"/>
      <c r="Y11" s="214"/>
      <c r="Z11" s="214"/>
      <c r="AA11" s="214"/>
      <c r="AB11" s="534"/>
      <c r="AC11" s="214"/>
      <c r="AD11" s="214"/>
      <c r="AE11" s="214"/>
      <c r="AF11" s="214"/>
      <c r="AG11" s="214"/>
      <c r="AH11" s="214"/>
      <c r="AI11" s="534"/>
      <c r="AJ11" s="214"/>
      <c r="AK11" s="535"/>
      <c r="AM11" s="129"/>
      <c r="AN11" s="129" t="str">
        <f t="shared" si="26"/>
        <v xml:space="preserve">Добавить наименование признака дифференциации</v>
      </c>
      <c r="AO11" s="129"/>
      <c r="AP11" s="129"/>
      <c r="AQ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238</v>
      </c>
      <c r="U12" s="545"/>
      <c r="V12" s="545"/>
      <c r="W12" s="545"/>
      <c r="X12" s="545"/>
      <c r="Y12" s="545"/>
      <c r="Z12" s="545"/>
      <c r="AA12" s="545"/>
      <c r="AB12" s="545"/>
      <c r="AC12" s="545"/>
      <c r="AD12" s="545"/>
      <c r="AE12" s="545"/>
      <c r="AF12" s="545"/>
      <c r="AG12" s="545"/>
      <c r="AH12" s="545"/>
      <c r="AI12" s="545"/>
      <c r="AJ12" s="545"/>
      <c r="AK12" s="545"/>
      <c r="AM12" s="129"/>
      <c r="AN12" s="129" t="str">
        <f t="shared" si="2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239</v>
      </c>
      <c r="U13" s="545"/>
      <c r="V13" s="545"/>
      <c r="W13" s="545"/>
      <c r="X13" s="545"/>
      <c r="Y13" s="545"/>
      <c r="Z13" s="545"/>
      <c r="AA13" s="545"/>
      <c r="AB13" s="545"/>
      <c r="AC13" s="545"/>
      <c r="AD13" s="545"/>
      <c r="AE13" s="545"/>
      <c r="AF13" s="545"/>
      <c r="AG13" s="545"/>
      <c r="AH13" s="545"/>
      <c r="AI13" s="545"/>
      <c r="AJ13" s="545"/>
      <c r="AK13" s="545"/>
      <c r="AM13" s="129"/>
      <c r="AN13" s="129" t="str">
        <f t="shared" si="26"/>
        <v xml:space="preserve">Добавить территорию для дифференциации</v>
      </c>
      <c r="AO13" s="129"/>
      <c r="AP13" s="129"/>
      <c r="AQ13" s="57">
        <v>0</v>
      </c>
    </row>
    <row r="14" ht="14.25" hidden="1" customHeight="1">
      <c r="AB14" s="50"/>
      <c r="AI14" s="50"/>
      <c r="AQ14" s="50">
        <v>0</v>
      </c>
    </row>
    <row r="15" ht="14.25" hidden="1" customHeight="1">
      <c r="AC15" s="547"/>
      <c r="AD15" s="547"/>
      <c r="AE15" s="548"/>
      <c r="AF15" s="549"/>
      <c r="AG15" s="550" t="s">
        <v>66</v>
      </c>
      <c r="AH15" s="549"/>
      <c r="AI15" s="550" t="s">
        <v>66</v>
      </c>
      <c r="AQ15" s="50">
        <v>0</v>
      </c>
    </row>
    <row r="16" ht="14.25" hidden="1" customHeight="1">
      <c r="AC16" s="547"/>
      <c r="AD16" s="547"/>
      <c r="AE16" s="526" t="str">
        <f>AF15&amp;"-"&amp;AH15</f>
        <v>-</v>
      </c>
      <c r="AF16" s="550"/>
      <c r="AG16" s="550"/>
      <c r="AH16" s="550"/>
      <c r="AI16" s="550"/>
      <c r="AQ16" s="50">
        <v>0</v>
      </c>
    </row>
    <row r="17" ht="14.25" hidden="1" customHeight="1">
      <c r="AI17" s="50"/>
      <c r="AQ17" s="50">
        <v>0</v>
      </c>
    </row>
    <row r="18" s="53" customFormat="1" ht="22.5" hidden="1" customHeight="1">
      <c r="L18" s="113"/>
      <c r="M18" s="61"/>
      <c r="N18" s="61"/>
      <c r="O18" s="551" t="s">
        <v>417</v>
      </c>
      <c r="P18" s="61"/>
      <c r="Q18" s="552"/>
      <c r="R18" s="552"/>
      <c r="S18" s="496"/>
      <c r="Y18" s="551"/>
      <c r="AA18" s="551"/>
      <c r="AB18" s="53"/>
      <c r="AF18" s="551"/>
      <c r="AH18" s="551"/>
      <c r="AI18" s="53"/>
      <c r="AL18" s="57"/>
      <c r="AM18" s="57"/>
      <c r="AN18" s="57"/>
      <c r="AO18" s="57"/>
      <c r="AP18" s="57"/>
      <c r="AQ18" s="53">
        <v>0</v>
      </c>
    </row>
    <row r="19" s="53" customFormat="1" ht="14.25" hidden="1" customHeight="1">
      <c r="L19" s="113"/>
      <c r="M19" s="61"/>
      <c r="N19" s="61"/>
      <c r="O19" s="61"/>
      <c r="P19" s="61"/>
      <c r="Q19" s="552"/>
      <c r="R19" s="552"/>
      <c r="S19" s="496"/>
      <c r="AB19" s="53"/>
      <c r="AI19" s="53"/>
      <c r="AL19" s="57"/>
      <c r="AM19" s="57"/>
      <c r="AN19" s="57"/>
      <c r="AO19" s="57"/>
      <c r="AP19" s="57"/>
      <c r="AQ19" s="53">
        <v>0</v>
      </c>
    </row>
    <row r="20" s="53" customFormat="1" ht="12" hidden="1" customHeight="1">
      <c r="L20" s="113"/>
      <c r="M20" s="61"/>
      <c r="N20" s="61"/>
      <c r="O20" s="495" t="s">
        <v>418</v>
      </c>
      <c r="P20" s="61"/>
      <c r="Q20" s="701"/>
      <c r="R20" s="701"/>
      <c r="S20" s="496"/>
      <c r="T20" s="53" t="s">
        <v>419</v>
      </c>
      <c r="Z20" s="151" t="s">
        <v>420</v>
      </c>
      <c r="AB20" s="151" t="s">
        <v>421</v>
      </c>
      <c r="AC20" s="53" t="s">
        <v>419</v>
      </c>
      <c r="AG20" s="151" t="s">
        <v>422</v>
      </c>
      <c r="AI20" s="151" t="s">
        <v>421</v>
      </c>
      <c r="AQ20" s="53">
        <v>0</v>
      </c>
    </row>
    <row r="21" ht="14.25" hidden="1" customHeight="1">
      <c r="O21" s="495"/>
      <c r="AQ21" s="50">
        <v>0</v>
      </c>
    </row>
    <row r="22" ht="14.25" hidden="1" customHeight="1">
      <c r="O22" s="495"/>
      <c r="AQ22" s="50">
        <v>0</v>
      </c>
    </row>
    <row r="23" ht="14.65" customHeight="1">
      <c r="Q23" s="553"/>
      <c r="R23" s="553"/>
      <c r="S23" s="554"/>
      <c r="T23" s="91"/>
      <c r="U23" s="91"/>
      <c r="V23" s="50"/>
      <c r="W23" s="50"/>
      <c r="X23" s="50"/>
      <c r="Y23" s="50"/>
      <c r="Z23" s="50"/>
      <c r="AA23" s="50"/>
      <c r="AB23" s="50"/>
      <c r="AC23" s="50"/>
      <c r="AD23" s="50"/>
      <c r="AE23" s="50"/>
      <c r="AF23" s="50"/>
      <c r="AG23" s="50"/>
      <c r="AH23" s="50"/>
      <c r="AI23" s="50"/>
      <c r="AQ23" s="50">
        <v>14</v>
      </c>
    </row>
    <row r="24" ht="14.65" customHeight="1">
      <c r="Q24" s="553"/>
      <c r="R24" s="553"/>
      <c r="S24" s="466"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6"/>
      <c r="U24" s="466"/>
      <c r="V24" s="466"/>
      <c r="W24" s="466"/>
      <c r="X24" s="466"/>
      <c r="Y24" s="466"/>
      <c r="Z24" s="466"/>
      <c r="AA24" s="466"/>
      <c r="AB24" s="466"/>
      <c r="AC24" s="466"/>
      <c r="AD24" s="466"/>
      <c r="AE24" s="466"/>
      <c r="AF24" s="466"/>
      <c r="AG24" s="466"/>
      <c r="AH24" s="466"/>
      <c r="AI24" s="240"/>
      <c r="AQ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0"/>
      <c r="AK27" s="559"/>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95"/>
      <c r="M28" s="151"/>
      <c r="N28" s="151"/>
      <c r="O28" s="151"/>
      <c r="S28" s="556" t="s">
        <v>423</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0"/>
      <c r="AK28" s="559"/>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95"/>
      <c r="M29" s="151"/>
      <c r="N29" s="151"/>
      <c r="O29" s="151"/>
      <c r="S29" s="556" t="s">
        <v>424</v>
      </c>
      <c r="T29" s="556"/>
      <c r="U29" s="557"/>
      <c r="V29" s="558" t="str">
        <f>IF(TITLE_NUMBER_PR_CHANGE="",IF(TITLE_NUMBER_PR="","",TITLE_NUMBER_PR),TITLE_NUMBER_PR_CHANGE)</f>
        <v>ПГ/01/950</v>
      </c>
      <c r="W29" s="558"/>
      <c r="X29" s="558"/>
      <c r="Y29" s="558"/>
      <c r="Z29" s="558"/>
      <c r="AA29" s="558"/>
      <c r="AB29" s="50"/>
      <c r="AC29" s="558" t="str">
        <f>IF(TITLE_NUMBER_PR_CHANGE="",IF(TITLE_NUMBER_PR="","",TITLE_NUMBER_PR),TITLE_NUMBER_PR_CHANGE)</f>
        <v>ПГ/01/950</v>
      </c>
      <c r="AD29" s="558"/>
      <c r="AE29" s="558"/>
      <c r="AF29" s="558"/>
      <c r="AG29" s="558"/>
      <c r="AH29" s="558"/>
      <c r="AI29" s="50"/>
      <c r="AJ29" s="50"/>
      <c r="AK29" s="559"/>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0"/>
      <c r="AK30" s="559"/>
      <c r="AL30" s="129"/>
      <c r="AM30" s="129"/>
      <c r="AN30" s="129"/>
      <c r="AO30" s="129"/>
      <c r="AP30" s="129"/>
      <c r="AQ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customHeight="1">
      <c r="A32" s="151"/>
      <c r="B32" s="151"/>
      <c r="C32" s="151"/>
      <c r="D32" s="151"/>
      <c r="E32" s="151"/>
      <c r="F32" s="151"/>
      <c r="G32" s="151"/>
      <c r="H32" s="151"/>
      <c r="I32" s="151"/>
      <c r="J32" s="151"/>
      <c r="K32" s="151"/>
      <c r="L32" s="495"/>
      <c r="M32" s="151"/>
      <c r="N32" s="151"/>
      <c r="O32" s="151"/>
      <c r="S32" s="556" t="s">
        <v>425</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0"/>
      <c r="AK32" s="559"/>
      <c r="AL32" s="129"/>
      <c r="AM32" s="129"/>
      <c r="AN32" s="129"/>
      <c r="AO32" s="129"/>
      <c r="AP32" s="129"/>
      <c r="AQ32" s="184">
        <v>0</v>
      </c>
    </row>
    <row r="33" s="184" customFormat="1" ht="18.75" customHeight="1">
      <c r="A33" s="151"/>
      <c r="B33" s="151"/>
      <c r="C33" s="151"/>
      <c r="D33" s="151"/>
      <c r="E33" s="151"/>
      <c r="F33" s="151"/>
      <c r="G33" s="151"/>
      <c r="H33" s="151"/>
      <c r="I33" s="151"/>
      <c r="J33" s="151"/>
      <c r="K33" s="151"/>
      <c r="L33" s="495"/>
      <c r="M33" s="151"/>
      <c r="N33" s="151"/>
      <c r="O33" s="151"/>
      <c r="S33" s="556" t="s">
        <v>426</v>
      </c>
      <c r="T33" s="556"/>
      <c r="U33" s="557"/>
      <c r="V33" s="558" t="str">
        <f>IF(TITLE_NUMBER_PR_CHANGE="",IF(TITLE_NUMBER_PR="","",TITLE_NUMBER_PR),TITLE_NUMBER_PR_CHANGE)</f>
        <v>ПГ/01/950</v>
      </c>
      <c r="W33" s="558"/>
      <c r="X33" s="558"/>
      <c r="Y33" s="558"/>
      <c r="Z33" s="558"/>
      <c r="AA33" s="558"/>
      <c r="AB33" s="50"/>
      <c r="AC33" s="558" t="str">
        <f>IF(TITLE_NUMBER_PR_CHANGE="",IF(TITLE_NUMBER_PR="","",TITLE_NUMBER_PR),TITLE_NUMBER_PR_CHANGE)</f>
        <v>ПГ/01/950</v>
      </c>
      <c r="AD33" s="558"/>
      <c r="AE33" s="558"/>
      <c r="AF33" s="558"/>
      <c r="AG33" s="558"/>
      <c r="AH33" s="558"/>
      <c r="AI33" s="50"/>
      <c r="AJ33" s="50"/>
      <c r="AK33" s="559"/>
      <c r="AL33" s="129"/>
      <c r="AM33" s="129"/>
      <c r="AN33" s="129"/>
      <c r="AO33" s="129"/>
      <c r="AP33" s="129"/>
      <c r="AQ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427</v>
      </c>
      <c r="AC34" s="50"/>
      <c r="AD34" s="50"/>
      <c r="AE34" s="50"/>
      <c r="AF34" s="50"/>
      <c r="AG34" s="50"/>
      <c r="AH34" s="50"/>
      <c r="AI34" s="57" t="s">
        <v>427</v>
      </c>
      <c r="AL34" s="129"/>
      <c r="AM34" s="129"/>
      <c r="AN34" s="129"/>
      <c r="AO34" s="129"/>
      <c r="AP34" s="129"/>
      <c r="AQ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553"/>
      <c r="R36" s="553"/>
      <c r="S36" s="157" t="s">
        <v>302</v>
      </c>
      <c r="T36" s="157"/>
      <c r="U36" s="157"/>
      <c r="V36" s="157"/>
      <c r="W36" s="157"/>
      <c r="X36" s="157"/>
      <c r="Y36" s="157"/>
      <c r="Z36" s="157"/>
      <c r="AA36" s="157"/>
      <c r="AB36" s="157"/>
      <c r="AC36" s="157"/>
      <c r="AD36" s="157"/>
      <c r="AE36" s="157"/>
      <c r="AF36" s="157"/>
      <c r="AG36" s="157"/>
      <c r="AH36" s="157"/>
      <c r="AI36" s="157"/>
      <c r="AJ36" s="157"/>
      <c r="AK36" s="157" t="s">
        <v>303</v>
      </c>
      <c r="AQ36" s="50">
        <v>14</v>
      </c>
    </row>
    <row r="37" ht="14.65" customHeight="1">
      <c r="Q37" s="553"/>
      <c r="R37" s="553"/>
      <c r="S37" s="498" t="s">
        <v>88</v>
      </c>
      <c r="T37" s="362" t="s">
        <v>428</v>
      </c>
      <c r="U37" s="563"/>
      <c r="V37" s="564" t="s">
        <v>429</v>
      </c>
      <c r="W37" s="565"/>
      <c r="X37" s="565"/>
      <c r="Y37" s="565"/>
      <c r="Z37" s="565"/>
      <c r="AA37" s="566"/>
      <c r="AB37" s="567" t="s">
        <v>430</v>
      </c>
      <c r="AC37" s="564" t="s">
        <v>429</v>
      </c>
      <c r="AD37" s="565"/>
      <c r="AE37" s="565"/>
      <c r="AF37" s="565"/>
      <c r="AG37" s="565"/>
      <c r="AH37" s="566"/>
      <c r="AI37" s="567" t="s">
        <v>431</v>
      </c>
      <c r="AJ37" s="568" t="s">
        <v>432</v>
      </c>
      <c r="AK37" s="157"/>
      <c r="AQ37" s="50">
        <v>14</v>
      </c>
    </row>
    <row r="38" ht="35.649999999999999" customHeight="1">
      <c r="Q38" s="553"/>
      <c r="R38" s="553"/>
      <c r="S38" s="498"/>
      <c r="T38" s="362"/>
      <c r="U38" s="569"/>
      <c r="V38" s="324" t="s">
        <v>488</v>
      </c>
      <c r="W38" s="73" t="s">
        <v>435</v>
      </c>
      <c r="X38" s="72"/>
      <c r="Y38" s="73" t="s">
        <v>436</v>
      </c>
      <c r="Z38" s="145"/>
      <c r="AA38" s="72"/>
      <c r="AB38" s="571"/>
      <c r="AC38" s="324" t="s">
        <v>488</v>
      </c>
      <c r="AD38" s="73" t="s">
        <v>435</v>
      </c>
      <c r="AE38" s="72"/>
      <c r="AF38" s="73" t="s">
        <v>436</v>
      </c>
      <c r="AG38" s="145"/>
      <c r="AH38" s="72"/>
      <c r="AI38" s="571"/>
      <c r="AJ38" s="572"/>
      <c r="AK38" s="157"/>
      <c r="AQ38" s="50">
        <v>34</v>
      </c>
    </row>
    <row r="39" ht="35.649999999999999" customHeight="1">
      <c r="A39" s="151"/>
      <c r="B39" s="151" t="s">
        <v>135</v>
      </c>
      <c r="C39" s="151" t="s">
        <v>136</v>
      </c>
      <c r="D39" s="151" t="s">
        <v>137</v>
      </c>
      <c r="E39" s="495" t="s">
        <v>437</v>
      </c>
      <c r="F39" s="495" t="s">
        <v>438</v>
      </c>
      <c r="G39" s="495" t="s">
        <v>439</v>
      </c>
      <c r="H39" s="495"/>
      <c r="I39" s="495" t="s">
        <v>489</v>
      </c>
      <c r="J39" s="495" t="s">
        <v>442</v>
      </c>
      <c r="K39" s="495" t="s">
        <v>490</v>
      </c>
      <c r="L39" s="495" t="s">
        <v>418</v>
      </c>
      <c r="Q39" s="553"/>
      <c r="R39" s="553"/>
      <c r="S39" s="498"/>
      <c r="T39" s="362"/>
      <c r="U39" s="573"/>
      <c r="V39" s="324" t="s">
        <v>491</v>
      </c>
      <c r="W39" s="246" t="s">
        <v>492</v>
      </c>
      <c r="X39" s="246" t="s">
        <v>493</v>
      </c>
      <c r="Y39" s="246" t="s">
        <v>446</v>
      </c>
      <c r="Z39" s="429" t="s">
        <v>447</v>
      </c>
      <c r="AA39" s="431"/>
      <c r="AB39" s="575"/>
      <c r="AC39" s="324" t="s">
        <v>491</v>
      </c>
      <c r="AD39" s="246" t="s">
        <v>492</v>
      </c>
      <c r="AE39" s="246" t="s">
        <v>493</v>
      </c>
      <c r="AF39" s="246" t="s">
        <v>446</v>
      </c>
      <c r="AG39" s="429" t="s">
        <v>447</v>
      </c>
      <c r="AH39" s="431"/>
      <c r="AI39" s="575"/>
      <c r="AJ39" s="576"/>
      <c r="AK39" s="157"/>
      <c r="AQ39" s="50">
        <v>34</v>
      </c>
    </row>
    <row r="40" s="131" customFormat="1" ht="0"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2">
        <f ca="1">OFFSET(AJ40,0,-1)</f>
        <v>14</v>
      </c>
      <c r="AK40" s="583">
        <f ca="1">OFFSET(AK40,0,-1)+1</f>
        <v>15</v>
      </c>
      <c r="AL40" s="57"/>
      <c r="AM40" s="57"/>
      <c r="AN40" s="57"/>
      <c r="AO40" s="57"/>
      <c r="AP40" s="57"/>
      <c r="AQ40" s="131">
        <v>0</v>
      </c>
    </row>
    <row r="41" ht="24" customHeight="1">
      <c r="A41" s="493" t="s">
        <v>228</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0</v>
      </c>
      <c r="T41" s="499" t="s">
        <v>123</v>
      </c>
      <c r="U41" s="500"/>
      <c r="V41" s="501"/>
      <c r="W41" s="502"/>
      <c r="X41" s="502"/>
      <c r="Y41" s="502"/>
      <c r="Z41" s="502"/>
      <c r="AA41" s="502"/>
      <c r="AB41" s="503"/>
      <c r="AC41" s="501" t="str">
        <f>INDEX(PT_DIFFERENTIATION_NTAR,MATCH(A41,PT_DIFFERENTIATION_NTAR_ID,0))</f>
        <v/>
      </c>
      <c r="AD41" s="502"/>
      <c r="AE41" s="502"/>
      <c r="AF41" s="502"/>
      <c r="AG41" s="502"/>
      <c r="AH41" s="502"/>
      <c r="AI41" s="502"/>
      <c r="AJ41" s="503"/>
      <c r="AK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6"/>
        <v xml:space="preserve">Наименование тарифа</v>
      </c>
      <c r="AO41" s="129"/>
      <c r="AP41" s="129"/>
      <c r="AQ41" s="50">
        <v>23</v>
      </c>
    </row>
    <row r="42" ht="24" customHeight="1">
      <c r="A42" s="493" t="s">
        <v>228</v>
      </c>
      <c r="B42" s="493" t="s">
        <v>229</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v>
      </c>
      <c r="T42" s="508" t="s">
        <v>399</v>
      </c>
      <c r="U42" s="500"/>
      <c r="V42" s="501"/>
      <c r="W42" s="502"/>
      <c r="X42" s="502"/>
      <c r="Y42" s="502"/>
      <c r="Z42" s="502"/>
      <c r="AA42" s="502"/>
      <c r="AB42" s="503"/>
      <c r="AC42" s="501" t="str">
        <f>INDEX(PT_DIFFERENTIATION_TER,MATCH(B42,PT_DIFFERENTIATION_TER_ID,0))</f>
        <v/>
      </c>
      <c r="AD42" s="502"/>
      <c r="AE42" s="502"/>
      <c r="AF42" s="502"/>
      <c r="AG42" s="502"/>
      <c r="AH42" s="502"/>
      <c r="AI42" s="502"/>
      <c r="AJ42" s="503"/>
      <c r="AK42" s="504" t="s">
        <v>400</v>
      </c>
      <c r="AM42" s="129"/>
      <c r="AN42" s="129" t="str">
        <f t="shared" si="26"/>
        <v xml:space="preserve">Территория действия тарифа</v>
      </c>
      <c r="AO42" s="129"/>
      <c r="AP42" s="129"/>
      <c r="AQ42" s="50">
        <v>23</v>
      </c>
    </row>
    <row r="43" ht="24" customHeight="1">
      <c r="A43" s="493" t="s">
        <v>228</v>
      </c>
      <c r="B43" s="493" t="s">
        <v>229</v>
      </c>
      <c r="C43" s="493" t="s">
        <v>230</v>
      </c>
      <c r="D43" s="493"/>
      <c r="E43" s="505"/>
      <c r="F43" s="505"/>
      <c r="G43" s="494">
        <v>1</v>
      </c>
      <c r="H43" s="493"/>
      <c r="I43" s="493"/>
      <c r="J43" s="493"/>
      <c r="K43" s="493"/>
      <c r="L43" s="495"/>
      <c r="M43" s="496"/>
      <c r="N43" s="496"/>
      <c r="O43" s="496"/>
      <c r="P43" s="509"/>
      <c r="Q43" s="506"/>
      <c r="R43" s="507"/>
      <c r="S43" s="498" t="str">
        <f>INDEX(PT_DIFFERENTIATION_NUM_CS,MATCH(C43,PT_DIFFERENTIATION_CS_ID,0))</f>
        <v>..</v>
      </c>
      <c r="T43" s="510" t="s">
        <v>480</v>
      </c>
      <c r="U43" s="500"/>
      <c r="V43" s="501"/>
      <c r="W43" s="502"/>
      <c r="X43" s="502"/>
      <c r="Y43" s="502"/>
      <c r="Z43" s="502"/>
      <c r="AA43" s="502"/>
      <c r="AB43" s="503"/>
      <c r="AC43" s="501" t="str">
        <f>INDEX(PT_DIFFERENTIATION_CS,MATCH(C43,PT_DIFFERENTIATION_CS_ID,0))</f>
        <v/>
      </c>
      <c r="AD43" s="502"/>
      <c r="AE43" s="502"/>
      <c r="AF43" s="502"/>
      <c r="AG43" s="502"/>
      <c r="AH43" s="502"/>
      <c r="AI43" s="502"/>
      <c r="AJ43" s="503"/>
      <c r="AK43" s="504" t="s">
        <v>481</v>
      </c>
      <c r="AM43" s="129"/>
      <c r="AN43" s="129" t="str">
        <f t="shared" si="26"/>
        <v xml:space="preserve">Наименование централизованной системы холодного водоснабжения</v>
      </c>
      <c r="AO43" s="129"/>
      <c r="AP43" s="129"/>
      <c r="AQ43" s="50">
        <v>23</v>
      </c>
    </row>
    <row r="44" ht="24" customHeight="1">
      <c r="A44" s="493" t="s">
        <v>228</v>
      </c>
      <c r="B44" s="493" t="s">
        <v>229</v>
      </c>
      <c r="C44" s="493" t="s">
        <v>230</v>
      </c>
      <c r="D44" s="493" t="s">
        <v>495</v>
      </c>
      <c r="E44" s="505"/>
      <c r="F44" s="505"/>
      <c r="G44" s="505"/>
      <c r="H44" s="505"/>
      <c r="I44" s="512" t="str">
        <f>S43&amp;".1"</f>
        <v>...1</v>
      </c>
      <c r="J44" s="493"/>
      <c r="K44" s="493"/>
      <c r="L44" s="495"/>
      <c r="P44" s="132">
        <v>1</v>
      </c>
      <c r="Q44" s="132"/>
      <c r="R44" s="513"/>
      <c r="S44" s="498" t="str">
        <f>$I44</f>
        <v>...1</v>
      </c>
      <c r="T44" s="514" t="s">
        <v>482</v>
      </c>
      <c r="U44" s="500"/>
      <c r="V44" s="689"/>
      <c r="W44" s="690"/>
      <c r="X44" s="690"/>
      <c r="Y44" s="690"/>
      <c r="Z44" s="690"/>
      <c r="AA44" s="690"/>
      <c r="AB44" s="691"/>
      <c r="AC44" s="692"/>
      <c r="AD44" s="693"/>
      <c r="AE44" s="693"/>
      <c r="AF44" s="693"/>
      <c r="AG44" s="693"/>
      <c r="AH44" s="693"/>
      <c r="AI44" s="693"/>
      <c r="AJ44" s="694"/>
      <c r="AK44" s="504" t="s">
        <v>483</v>
      </c>
      <c r="AM44" s="129"/>
      <c r="AN44" s="129" t="str">
        <f t="shared" si="26"/>
        <v xml:space="preserve">Наименование признака дифференциации</v>
      </c>
      <c r="AO44" s="129"/>
      <c r="AP44" s="129"/>
      <c r="AQ44" s="50">
        <v>23</v>
      </c>
    </row>
    <row r="45" ht="24" customHeight="1">
      <c r="A45" s="493" t="s">
        <v>228</v>
      </c>
      <c r="B45" s="493" t="s">
        <v>229</v>
      </c>
      <c r="C45" s="493" t="s">
        <v>230</v>
      </c>
      <c r="D45" s="493" t="s">
        <v>495</v>
      </c>
      <c r="E45" s="505"/>
      <c r="F45" s="505"/>
      <c r="G45" s="505"/>
      <c r="H45" s="505"/>
      <c r="I45" s="517"/>
      <c r="J45" s="512" t="str">
        <f>I44&amp;".1"</f>
        <v>...1.1</v>
      </c>
      <c r="K45" s="493"/>
      <c r="L45" s="495" t="s">
        <v>408</v>
      </c>
      <c r="P45" s="132"/>
      <c r="Q45" s="132">
        <v>1</v>
      </c>
      <c r="R45" s="518"/>
      <c r="S45" s="498" t="str">
        <f>$J45</f>
        <v>...1.1</v>
      </c>
      <c r="T45" s="519" t="s">
        <v>409</v>
      </c>
      <c r="U45" s="500"/>
      <c r="V45" s="445"/>
      <c r="W45" s="515"/>
      <c r="X45" s="515"/>
      <c r="Y45" s="515"/>
      <c r="Z45" s="515"/>
      <c r="AA45" s="515"/>
      <c r="AB45" s="516"/>
      <c r="AC45" s="445"/>
      <c r="AD45" s="515"/>
      <c r="AE45" s="515"/>
      <c r="AF45" s="515"/>
      <c r="AG45" s="515"/>
      <c r="AH45" s="515"/>
      <c r="AI45" s="515"/>
      <c r="AJ45" s="516"/>
      <c r="AK45" s="631" t="s">
        <v>484</v>
      </c>
      <c r="AM45" s="129"/>
      <c r="AN45" s="129" t="str">
        <f t="shared" si="26"/>
        <v xml:space="preserve">Группа потребителей</v>
      </c>
      <c r="AO45" s="129"/>
      <c r="AP45" s="129"/>
      <c r="AQ45" s="50">
        <v>23</v>
      </c>
    </row>
    <row r="46" ht="24" customHeight="1">
      <c r="A46" s="493" t="s">
        <v>228</v>
      </c>
      <c r="B46" s="493" t="s">
        <v>229</v>
      </c>
      <c r="C46" s="493" t="s">
        <v>230</v>
      </c>
      <c r="D46" s="493" t="s">
        <v>495</v>
      </c>
      <c r="E46" s="505"/>
      <c r="F46" s="505"/>
      <c r="G46" s="505"/>
      <c r="H46" s="505"/>
      <c r="I46" s="517"/>
      <c r="J46" s="517"/>
      <c r="K46" s="512" t="str">
        <f>J45&amp;".1"</f>
        <v>...1.1.1</v>
      </c>
      <c r="L46" s="495"/>
      <c r="P46" s="132"/>
      <c r="Q46" s="132"/>
      <c r="R46" s="518">
        <v>1</v>
      </c>
      <c r="S46" s="498" t="str">
        <f>$K46</f>
        <v>...1.1.1</v>
      </c>
      <c r="T46" s="695"/>
      <c r="U46" s="500"/>
      <c r="V46" s="521"/>
      <c r="W46" s="521"/>
      <c r="X46" s="523"/>
      <c r="Y46" s="524"/>
      <c r="Z46" s="224" t="s">
        <v>66</v>
      </c>
      <c r="AA46" s="524"/>
      <c r="AB46" s="224" t="s">
        <v>66</v>
      </c>
      <c r="AC46" s="521"/>
      <c r="AD46" s="521"/>
      <c r="AE46" s="523"/>
      <c r="AF46" s="524"/>
      <c r="AG46" s="224" t="s">
        <v>66</v>
      </c>
      <c r="AH46" s="584"/>
      <c r="AI46" s="224" t="s">
        <v>66</v>
      </c>
      <c r="AJ46" s="696"/>
      <c r="AK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6"/>
        <v/>
      </c>
      <c r="AO46" s="129"/>
      <c r="AP46" s="129"/>
      <c r="AQ46" s="50">
        <v>23</v>
      </c>
    </row>
    <row r="47" ht="0" customHeight="1">
      <c r="A47" s="493" t="s">
        <v>228</v>
      </c>
      <c r="B47" s="493" t="s">
        <v>229</v>
      </c>
      <c r="C47" s="493" t="s">
        <v>230</v>
      </c>
      <c r="D47" s="493" t="s">
        <v>495</v>
      </c>
      <c r="E47" s="505"/>
      <c r="F47" s="505"/>
      <c r="G47" s="505"/>
      <c r="H47" s="505"/>
      <c r="I47" s="517"/>
      <c r="J47" s="517"/>
      <c r="K47" s="512"/>
      <c r="L47" s="495"/>
      <c r="P47" s="132"/>
      <c r="Q47" s="132"/>
      <c r="R47" s="518"/>
      <c r="S47" s="472"/>
      <c r="T47" s="500"/>
      <c r="U47" s="500"/>
      <c r="V47" s="522"/>
      <c r="W47" s="522"/>
      <c r="X47" s="526" t="str">
        <f>Y46&amp;"-"&amp;AA46</f>
        <v>-</v>
      </c>
      <c r="Y47" s="527"/>
      <c r="Z47" s="224"/>
      <c r="AA47" s="527"/>
      <c r="AB47" s="224"/>
      <c r="AC47" s="522"/>
      <c r="AD47" s="522"/>
      <c r="AE47" s="526" t="str">
        <f>AF46&amp;"-"&amp;AH46</f>
        <v>-</v>
      </c>
      <c r="AF47" s="527"/>
      <c r="AG47" s="224"/>
      <c r="AH47" s="586"/>
      <c r="AI47" s="224"/>
      <c r="AJ47" s="698"/>
      <c r="AK47" s="697"/>
      <c r="AM47" s="129"/>
      <c r="AN47" s="129" t="str">
        <f t="shared" si="26"/>
        <v/>
      </c>
      <c r="AO47" s="129"/>
      <c r="AP47" s="129"/>
      <c r="AQ47" s="50">
        <v>0</v>
      </c>
    </row>
    <row r="48" ht="21" customHeight="1">
      <c r="A48" s="493" t="s">
        <v>228</v>
      </c>
      <c r="B48" s="493" t="s">
        <v>229</v>
      </c>
      <c r="C48" s="493" t="s">
        <v>230</v>
      </c>
      <c r="D48" s="493" t="s">
        <v>495</v>
      </c>
      <c r="E48" s="505"/>
      <c r="F48" s="505"/>
      <c r="G48" s="505"/>
      <c r="H48" s="505"/>
      <c r="I48" s="517"/>
      <c r="J48" s="512"/>
      <c r="K48" s="493"/>
      <c r="L48" s="495"/>
      <c r="P48" s="132"/>
      <c r="Q48" s="132"/>
      <c r="R48" s="513"/>
      <c r="S48" s="529"/>
      <c r="T48" s="533" t="s">
        <v>485</v>
      </c>
      <c r="U48" s="214"/>
      <c r="V48" s="214"/>
      <c r="W48" s="214"/>
      <c r="X48" s="214"/>
      <c r="Y48" s="214"/>
      <c r="Z48" s="214"/>
      <c r="AA48" s="214"/>
      <c r="AB48" s="214"/>
      <c r="AC48" s="214"/>
      <c r="AD48" s="214"/>
      <c r="AE48" s="214"/>
      <c r="AF48" s="214"/>
      <c r="AG48" s="214"/>
      <c r="AH48" s="214"/>
      <c r="AI48" s="214"/>
      <c r="AJ48" s="214"/>
      <c r="AK48" s="504" t="s">
        <v>486</v>
      </c>
      <c r="AM48" s="129"/>
      <c r="AN48" s="129" t="str">
        <f t="shared" si="26"/>
        <v xml:space="preserve">Добавить значение признака дифференциации</v>
      </c>
      <c r="AO48" s="129"/>
      <c r="AP48" s="129"/>
      <c r="AQ48" s="50">
        <v>20</v>
      </c>
    </row>
    <row r="49" ht="22" customHeight="1">
      <c r="A49" s="493" t="s">
        <v>228</v>
      </c>
      <c r="B49" s="493" t="s">
        <v>229</v>
      </c>
      <c r="C49" s="493" t="s">
        <v>230</v>
      </c>
      <c r="D49" s="493" t="s">
        <v>495</v>
      </c>
      <c r="E49" s="505"/>
      <c r="F49" s="505"/>
      <c r="G49" s="505"/>
      <c r="H49" s="505"/>
      <c r="I49" s="512"/>
      <c r="J49" s="493"/>
      <c r="K49" s="493"/>
      <c r="L49" s="495"/>
      <c r="P49" s="132"/>
      <c r="Q49" s="132"/>
      <c r="R49" s="513"/>
      <c r="S49" s="529"/>
      <c r="T49" s="537" t="s">
        <v>414</v>
      </c>
      <c r="U49" s="214"/>
      <c r="V49" s="214"/>
      <c r="W49" s="214"/>
      <c r="X49" s="214"/>
      <c r="Y49" s="214"/>
      <c r="Z49" s="214"/>
      <c r="AA49" s="214"/>
      <c r="AB49" s="534"/>
      <c r="AC49" s="214"/>
      <c r="AD49" s="214"/>
      <c r="AE49" s="214"/>
      <c r="AF49" s="214"/>
      <c r="AG49" s="214"/>
      <c r="AH49" s="214"/>
      <c r="AI49" s="534"/>
      <c r="AJ49" s="214"/>
      <c r="AK49" s="699"/>
      <c r="AM49" s="129"/>
      <c r="AN49" s="129" t="str">
        <f t="shared" si="26"/>
        <v xml:space="preserve">Добавить группу потребителей</v>
      </c>
      <c r="AO49" s="129"/>
      <c r="AP49" s="129"/>
      <c r="AQ49" s="50">
        <v>21</v>
      </c>
    </row>
    <row r="50" ht="22" customHeight="1">
      <c r="A50" s="493" t="s">
        <v>228</v>
      </c>
      <c r="B50" s="493" t="s">
        <v>229</v>
      </c>
      <c r="C50" s="493" t="s">
        <v>230</v>
      </c>
      <c r="D50" s="493" t="s">
        <v>495</v>
      </c>
      <c r="E50" s="505"/>
      <c r="F50" s="505"/>
      <c r="G50" s="505"/>
      <c r="H50" s="494"/>
      <c r="I50" s="493"/>
      <c r="J50" s="493"/>
      <c r="K50" s="493"/>
      <c r="L50" s="495"/>
      <c r="M50" s="496"/>
      <c r="N50" s="496"/>
      <c r="O50" s="53"/>
      <c r="P50" s="143"/>
      <c r="Q50" s="536"/>
      <c r="R50" s="497"/>
      <c r="S50" s="529"/>
      <c r="T50" s="700" t="s">
        <v>487</v>
      </c>
      <c r="U50" s="214"/>
      <c r="V50" s="214"/>
      <c r="W50" s="214"/>
      <c r="X50" s="214"/>
      <c r="Y50" s="214"/>
      <c r="Z50" s="214"/>
      <c r="AA50" s="214"/>
      <c r="AB50" s="534"/>
      <c r="AC50" s="214"/>
      <c r="AD50" s="214"/>
      <c r="AE50" s="214"/>
      <c r="AF50" s="214"/>
      <c r="AG50" s="214"/>
      <c r="AH50" s="214"/>
      <c r="AI50" s="534"/>
      <c r="AJ50" s="214"/>
      <c r="AK50" s="535"/>
      <c r="AM50" s="129"/>
      <c r="AN50" s="129" t="str">
        <f t="shared" si="26"/>
        <v xml:space="preserve">Добавить наименование признака дифференциации</v>
      </c>
      <c r="AO50" s="129"/>
      <c r="AP50" s="129"/>
      <c r="AQ50" s="50">
        <v>21</v>
      </c>
    </row>
    <row r="51" s="57" customFormat="1" ht="0" customHeight="1">
      <c r="A51" s="133" t="s">
        <v>228</v>
      </c>
      <c r="B51" s="133" t="s">
        <v>229</v>
      </c>
      <c r="C51" s="133"/>
      <c r="D51" s="133"/>
      <c r="E51" s="505"/>
      <c r="F51" s="494"/>
      <c r="G51" s="133"/>
      <c r="H51" s="133"/>
      <c r="I51" s="133"/>
      <c r="J51" s="133"/>
      <c r="K51" s="133"/>
      <c r="L51" s="212"/>
      <c r="M51" s="542"/>
      <c r="N51" s="542"/>
      <c r="P51" s="167"/>
      <c r="Q51" s="538"/>
      <c r="R51" s="167"/>
      <c r="S51" s="543"/>
      <c r="T51" s="546" t="s">
        <v>238</v>
      </c>
      <c r="U51" s="545"/>
      <c r="V51" s="545"/>
      <c r="W51" s="545"/>
      <c r="X51" s="545"/>
      <c r="Y51" s="545"/>
      <c r="Z51" s="545"/>
      <c r="AA51" s="545"/>
      <c r="AB51" s="545"/>
      <c r="AC51" s="545"/>
      <c r="AD51" s="545"/>
      <c r="AE51" s="545"/>
      <c r="AF51" s="545"/>
      <c r="AG51" s="545"/>
      <c r="AH51" s="545"/>
      <c r="AI51" s="545"/>
      <c r="AJ51" s="545"/>
      <c r="AK51" s="545"/>
      <c r="AM51" s="129"/>
      <c r="AN51" s="129" t="str">
        <f t="shared" si="26"/>
        <v xml:space="preserve">Добавить централизованную систему для дифференциации</v>
      </c>
      <c r="AO51" s="129"/>
      <c r="AP51" s="129"/>
      <c r="AQ51" s="57">
        <v>0</v>
      </c>
    </row>
    <row r="52" s="57" customFormat="1" ht="0" customHeight="1">
      <c r="A52" s="133" t="s">
        <v>228</v>
      </c>
      <c r="B52" s="133"/>
      <c r="C52" s="133"/>
      <c r="D52" s="133"/>
      <c r="E52" s="494"/>
      <c r="F52" s="133"/>
      <c r="G52" s="133"/>
      <c r="H52" s="133"/>
      <c r="I52" s="133"/>
      <c r="J52" s="133"/>
      <c r="K52" s="133"/>
      <c r="L52" s="212"/>
      <c r="M52" s="542"/>
      <c r="N52" s="542"/>
      <c r="O52" s="57"/>
      <c r="P52" s="167"/>
      <c r="Q52" s="538"/>
      <c r="R52" s="167"/>
      <c r="S52" s="543"/>
      <c r="T52" s="546" t="s">
        <v>239</v>
      </c>
      <c r="U52" s="545"/>
      <c r="V52" s="545"/>
      <c r="W52" s="545"/>
      <c r="X52" s="545"/>
      <c r="Y52" s="545"/>
      <c r="Z52" s="545"/>
      <c r="AA52" s="545"/>
      <c r="AB52" s="545"/>
      <c r="AC52" s="545"/>
      <c r="AD52" s="545"/>
      <c r="AE52" s="545"/>
      <c r="AF52" s="545"/>
      <c r="AG52" s="545"/>
      <c r="AH52" s="545"/>
      <c r="AI52" s="545"/>
      <c r="AJ52" s="545"/>
      <c r="AK52" s="545"/>
      <c r="AM52" s="129"/>
      <c r="AN52" s="129" t="str">
        <f t="shared" si="2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240</v>
      </c>
      <c r="U53" s="545"/>
      <c r="V53" s="545"/>
      <c r="W53" s="545"/>
      <c r="X53" s="545"/>
      <c r="Y53" s="545"/>
      <c r="Z53" s="545"/>
      <c r="AA53" s="545"/>
      <c r="AB53" s="545"/>
      <c r="AC53" s="545"/>
      <c r="AD53" s="545"/>
      <c r="AE53" s="545"/>
      <c r="AF53" s="545"/>
      <c r="AG53" s="545"/>
      <c r="AH53" s="545"/>
      <c r="AI53" s="545"/>
      <c r="AJ53" s="545"/>
      <c r="AK53" s="545"/>
      <c r="AM53" s="129"/>
      <c r="AN53" s="129" t="str">
        <f t="shared" si="2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Q55" s="50">
        <v>14</v>
      </c>
    </row>
    <row r="56" ht="14.65" customHeight="1">
      <c r="O56" s="53"/>
      <c r="AQ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isablePrompts="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200F4-008F-442A-B087-0070002B00EA}"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E10036-009E-4901-8A13-004200EF00D2}"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8600F8-00DC-447D-8E18-003D00EB0066}"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35002C-0033-4B4B-BAAE-00B60004001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O54" activeCellId="0" sqref="AO54"/>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5.140625"/>
    <col customWidth="1" min="33" max="33" style="50" width="3.7109375"/>
    <col customWidth="1" min="34" max="34" style="50" width="16.00390625"/>
    <col customWidth="1" min="35" max="35" style="50" width="8.57421875"/>
    <col customWidth="1" min="36" max="36" style="183" width="21.28125"/>
    <col customWidth="1" min="37" max="38" style="183" width="14.140625"/>
    <col customWidth="1" min="39" max="39" style="183" width="13.7109375"/>
    <col customWidth="1" min="41" max="41" style="183" width="14.00390625"/>
    <col hidden="1" min="42" max="42" style="183" width="10.57421875"/>
    <col customWidth="1" min="43" max="43" style="50" width="4.00390625"/>
    <col customWidth="1" min="44" max="44" style="50" width="115.00390625"/>
    <col customWidth="1" min="45" max="49" style="57" width="10.00390625"/>
    <col hidden="1" min="50" max="50" style="50" width="10.57421875"/>
  </cols>
  <sheetData>
    <row r="1" ht="22.5" hidden="1" customHeight="1">
      <c r="X1" s="50"/>
      <c r="Y1" s="50"/>
      <c r="AE1" s="50"/>
      <c r="AF1" s="50"/>
      <c r="AJ1" s="702"/>
      <c r="AK1" s="702"/>
      <c r="AL1" s="702"/>
      <c r="AM1" s="702"/>
      <c r="AN1" s="50"/>
      <c r="AO1" s="702"/>
      <c r="AP1" s="702"/>
      <c r="AX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703"/>
      <c r="AK2" s="704"/>
      <c r="AL2" s="704"/>
      <c r="AM2" s="704"/>
      <c r="AN2" s="502"/>
      <c r="AO2" s="704"/>
      <c r="AP2" s="705"/>
      <c r="AQ2" s="503"/>
      <c r="AR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129"/>
      <c r="AU2" s="129" t="str">
        <f t="shared" ref="AU2:AU9" si="27">IF(T2="","",T2)</f>
        <v xml:space="preserve">Наименование тарифа</v>
      </c>
      <c r="AV2" s="129"/>
      <c r="AW2" s="129"/>
      <c r="AX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3"/>
      <c r="AC3" s="501" t="e">
        <f>INDEX(PT_DIFFERENTIATION_TER,MATCH(B3,PT_DIFFERENTIATION_TER_ID,0))</f>
        <v>#VALUE!</v>
      </c>
      <c r="AD3" s="502"/>
      <c r="AE3" s="502"/>
      <c r="AF3" s="502"/>
      <c r="AG3" s="502"/>
      <c r="AH3" s="502"/>
      <c r="AI3" s="502"/>
      <c r="AJ3" s="703"/>
      <c r="AK3" s="704"/>
      <c r="AL3" s="704"/>
      <c r="AM3" s="704"/>
      <c r="AN3" s="502"/>
      <c r="AO3" s="704"/>
      <c r="AP3" s="705"/>
      <c r="AQ3" s="503"/>
      <c r="AR3" s="504" t="s">
        <v>400</v>
      </c>
      <c r="AT3" s="129"/>
      <c r="AU3" s="129" t="str">
        <f t="shared" si="27"/>
        <v xml:space="preserve">Территория действия тарифа</v>
      </c>
      <c r="AV3" s="129"/>
      <c r="AW3" s="129"/>
      <c r="AX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480</v>
      </c>
      <c r="U4" s="500"/>
      <c r="V4" s="501"/>
      <c r="W4" s="502"/>
      <c r="X4" s="502"/>
      <c r="Y4" s="502"/>
      <c r="Z4" s="502"/>
      <c r="AA4" s="502"/>
      <c r="AB4" s="503"/>
      <c r="AC4" s="501" t="e">
        <f>INDEX(PT_DIFFERENTIATION_CS,MATCH(C4,PT_DIFFERENTIATION_CS_ID,0))</f>
        <v>#VALUE!</v>
      </c>
      <c r="AD4" s="502"/>
      <c r="AE4" s="502"/>
      <c r="AF4" s="502"/>
      <c r="AG4" s="502"/>
      <c r="AH4" s="502"/>
      <c r="AI4" s="502"/>
      <c r="AJ4" s="703"/>
      <c r="AK4" s="704"/>
      <c r="AL4" s="704"/>
      <c r="AM4" s="704"/>
      <c r="AN4" s="502"/>
      <c r="AO4" s="704"/>
      <c r="AP4" s="705"/>
      <c r="AQ4" s="503"/>
      <c r="AR4" s="504" t="s">
        <v>481</v>
      </c>
      <c r="AT4" s="129"/>
      <c r="AU4" s="129" t="str">
        <f t="shared" si="27"/>
        <v xml:space="preserve">Наименование централизованной системы холодного водоснабжения</v>
      </c>
      <c r="AV4" s="129"/>
      <c r="AW4" s="129"/>
      <c r="AX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482</v>
      </c>
      <c r="U5" s="500"/>
      <c r="V5" s="689"/>
      <c r="W5" s="690"/>
      <c r="X5" s="690"/>
      <c r="Y5" s="690"/>
      <c r="Z5" s="690"/>
      <c r="AA5" s="690"/>
      <c r="AB5" s="691"/>
      <c r="AC5" s="692"/>
      <c r="AD5" s="693"/>
      <c r="AE5" s="693"/>
      <c r="AF5" s="693"/>
      <c r="AG5" s="693"/>
      <c r="AH5" s="693"/>
      <c r="AI5" s="693"/>
      <c r="AJ5" s="706"/>
      <c r="AK5" s="707"/>
      <c r="AL5" s="707"/>
      <c r="AM5" s="707"/>
      <c r="AN5" s="690"/>
      <c r="AO5" s="707"/>
      <c r="AP5" s="708"/>
      <c r="AQ5" s="694"/>
      <c r="AR5" s="504" t="s">
        <v>483</v>
      </c>
      <c r="AT5" s="129"/>
      <c r="AU5" s="129" t="str">
        <f t="shared" si="27"/>
        <v xml:space="preserve">Наименование признака дифференциации</v>
      </c>
      <c r="AV5" s="129"/>
      <c r="AW5" s="129"/>
      <c r="AX5" s="50">
        <v>0</v>
      </c>
    </row>
    <row r="6" ht="23.25" hidden="1" customHeight="1">
      <c r="A6" s="493"/>
      <c r="B6" s="493"/>
      <c r="C6" s="493"/>
      <c r="D6" s="493"/>
      <c r="E6" s="505"/>
      <c r="F6" s="505"/>
      <c r="G6" s="505"/>
      <c r="H6" s="505"/>
      <c r="I6" s="517"/>
      <c r="J6" s="512" t="e">
        <f>I5&amp;".1"</f>
        <v>#VALUE!</v>
      </c>
      <c r="K6" s="493"/>
      <c r="L6" s="495" t="s">
        <v>408</v>
      </c>
      <c r="P6" s="132"/>
      <c r="Q6" s="132">
        <v>1</v>
      </c>
      <c r="R6" s="518"/>
      <c r="S6" s="498" t="e">
        <f>$J6</f>
        <v>#VALUE!</v>
      </c>
      <c r="T6" s="519" t="s">
        <v>409</v>
      </c>
      <c r="U6" s="500"/>
      <c r="V6" s="445"/>
      <c r="W6" s="515"/>
      <c r="X6" s="515"/>
      <c r="Y6" s="515"/>
      <c r="Z6" s="515"/>
      <c r="AA6" s="515"/>
      <c r="AB6" s="516"/>
      <c r="AC6" s="445"/>
      <c r="AD6" s="515"/>
      <c r="AE6" s="515"/>
      <c r="AF6" s="515"/>
      <c r="AG6" s="515"/>
      <c r="AH6" s="515"/>
      <c r="AI6" s="515"/>
      <c r="AJ6" s="709"/>
      <c r="AK6" s="710"/>
      <c r="AL6" s="710"/>
      <c r="AM6" s="710"/>
      <c r="AN6" s="515"/>
      <c r="AO6" s="710"/>
      <c r="AP6" s="711"/>
      <c r="AQ6" s="516"/>
      <c r="AR6" s="631" t="s">
        <v>484</v>
      </c>
      <c r="AT6" s="129"/>
      <c r="AU6" s="129" t="str">
        <f t="shared" si="27"/>
        <v xml:space="preserve">Группа потребителей</v>
      </c>
      <c r="AV6" s="129"/>
      <c r="AW6" s="129"/>
      <c r="AX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712"/>
      <c r="AK7" s="712"/>
      <c r="AL7" s="713"/>
      <c r="AM7" s="714"/>
      <c r="AN7" s="224" t="s">
        <v>66</v>
      </c>
      <c r="AO7" s="714"/>
      <c r="AP7" s="715" t="s">
        <v>66</v>
      </c>
      <c r="AQ7" s="696"/>
      <c r="AR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7" t="e">
        <f>STRCHECKDATE(V8:AQ8)</f>
        <v>#NAME?</v>
      </c>
      <c r="AT7" s="129"/>
      <c r="AU7" s="129" t="str">
        <f t="shared" si="27"/>
        <v/>
      </c>
      <c r="AV7" s="129"/>
      <c r="AW7" s="129"/>
      <c r="AX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716"/>
      <c r="AK8" s="716"/>
      <c r="AL8" s="717" t="str">
        <f>AM7&amp;"-"&amp;AO7</f>
        <v>-</v>
      </c>
      <c r="AM8" s="718"/>
      <c r="AN8" s="224"/>
      <c r="AO8" s="718"/>
      <c r="AP8" s="224"/>
      <c r="AQ8" s="698"/>
      <c r="AR8" s="697"/>
      <c r="AT8" s="129"/>
      <c r="AU8" s="129" t="str">
        <f t="shared" si="27"/>
        <v/>
      </c>
      <c r="AV8" s="129"/>
      <c r="AW8" s="129"/>
      <c r="AX8" s="50">
        <v>0</v>
      </c>
    </row>
    <row r="9" ht="21" hidden="1" customHeight="1">
      <c r="A9" s="493"/>
      <c r="B9" s="493"/>
      <c r="C9" s="493"/>
      <c r="D9" s="493"/>
      <c r="E9" s="505"/>
      <c r="F9" s="505"/>
      <c r="G9" s="505"/>
      <c r="H9" s="505"/>
      <c r="I9" s="517"/>
      <c r="J9" s="512"/>
      <c r="K9" s="493"/>
      <c r="L9" s="495"/>
      <c r="P9" s="132"/>
      <c r="Q9" s="132"/>
      <c r="R9" s="513"/>
      <c r="S9" s="529"/>
      <c r="T9" s="533" t="s">
        <v>485</v>
      </c>
      <c r="U9" s="214"/>
      <c r="V9" s="214"/>
      <c r="W9" s="214"/>
      <c r="X9" s="214"/>
      <c r="Y9" s="214"/>
      <c r="Z9" s="214"/>
      <c r="AA9" s="214"/>
      <c r="AB9" s="214"/>
      <c r="AC9" s="214"/>
      <c r="AD9" s="214"/>
      <c r="AE9" s="214"/>
      <c r="AF9" s="214"/>
      <c r="AG9" s="214"/>
      <c r="AH9" s="214"/>
      <c r="AI9" s="214"/>
      <c r="AJ9" s="719"/>
      <c r="AK9" s="719"/>
      <c r="AL9" s="719"/>
      <c r="AM9" s="719"/>
      <c r="AN9" s="214"/>
      <c r="AO9" s="719"/>
      <c r="AP9" s="719"/>
      <c r="AQ9" s="214"/>
      <c r="AR9" s="504" t="s">
        <v>486</v>
      </c>
      <c r="AT9" s="129"/>
      <c r="AU9" s="129" t="str">
        <f t="shared" si="27"/>
        <v xml:space="preserve">Добавить значение признака дифференциации</v>
      </c>
      <c r="AV9" s="129"/>
      <c r="AW9" s="129"/>
      <c r="AX9" s="50">
        <v>0</v>
      </c>
    </row>
    <row r="10" ht="21" hidden="1" customHeight="1">
      <c r="A10" s="493"/>
      <c r="B10" s="493"/>
      <c r="C10" s="493"/>
      <c r="D10" s="493"/>
      <c r="E10" s="505"/>
      <c r="F10" s="505"/>
      <c r="G10" s="505"/>
      <c r="H10" s="505"/>
      <c r="I10" s="512"/>
      <c r="J10" s="493"/>
      <c r="K10" s="493"/>
      <c r="L10" s="495"/>
      <c r="P10" s="132"/>
      <c r="Q10" s="132"/>
      <c r="R10" s="513"/>
      <c r="S10" s="529"/>
      <c r="T10" s="537" t="s">
        <v>414</v>
      </c>
      <c r="U10" s="214"/>
      <c r="V10" s="214"/>
      <c r="W10" s="214"/>
      <c r="X10" s="214"/>
      <c r="Y10" s="214"/>
      <c r="Z10" s="214"/>
      <c r="AA10" s="214"/>
      <c r="AB10" s="534"/>
      <c r="AC10" s="214"/>
      <c r="AD10" s="214"/>
      <c r="AE10" s="214"/>
      <c r="AF10" s="214"/>
      <c r="AG10" s="214"/>
      <c r="AH10" s="214"/>
      <c r="AI10" s="534"/>
      <c r="AJ10" s="719"/>
      <c r="AK10" s="719"/>
      <c r="AL10" s="719"/>
      <c r="AM10" s="719"/>
      <c r="AN10" s="214"/>
      <c r="AO10" s="719"/>
      <c r="AP10" s="720"/>
      <c r="AQ10" s="214"/>
      <c r="AR10" s="699"/>
      <c r="AT10" s="129"/>
      <c r="AU10" s="129" t="str">
        <f t="shared" ref="AU10:AU53" si="28">IF(T10="","",T10)</f>
        <v xml:space="preserve">Добавить группу потребителей</v>
      </c>
      <c r="AV10" s="129"/>
      <c r="AW10" s="129"/>
      <c r="AX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487</v>
      </c>
      <c r="U11" s="214"/>
      <c r="V11" s="214"/>
      <c r="W11" s="214"/>
      <c r="X11" s="214"/>
      <c r="Y11" s="214"/>
      <c r="Z11" s="214"/>
      <c r="AA11" s="214"/>
      <c r="AB11" s="534"/>
      <c r="AC11" s="214"/>
      <c r="AD11" s="214"/>
      <c r="AE11" s="214"/>
      <c r="AF11" s="214"/>
      <c r="AG11" s="214"/>
      <c r="AH11" s="214"/>
      <c r="AI11" s="534"/>
      <c r="AJ11" s="719"/>
      <c r="AK11" s="719"/>
      <c r="AL11" s="719"/>
      <c r="AM11" s="719"/>
      <c r="AN11" s="214"/>
      <c r="AO11" s="719"/>
      <c r="AP11" s="720"/>
      <c r="AQ11" s="214"/>
      <c r="AR11" s="535"/>
      <c r="AT11" s="129"/>
      <c r="AU11" s="129" t="str">
        <f t="shared" si="28"/>
        <v xml:space="preserve">Добавить наименование признака дифференциации</v>
      </c>
      <c r="AV11" s="129"/>
      <c r="AW11" s="129"/>
      <c r="AX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238</v>
      </c>
      <c r="U12" s="545"/>
      <c r="V12" s="545"/>
      <c r="W12" s="545"/>
      <c r="X12" s="545"/>
      <c r="Y12" s="545"/>
      <c r="Z12" s="545"/>
      <c r="AA12" s="545"/>
      <c r="AB12" s="545"/>
      <c r="AC12" s="545"/>
      <c r="AD12" s="545"/>
      <c r="AE12" s="545"/>
      <c r="AF12" s="545"/>
      <c r="AG12" s="545"/>
      <c r="AH12" s="545"/>
      <c r="AI12" s="545"/>
      <c r="AJ12" s="721"/>
      <c r="AK12" s="721"/>
      <c r="AL12" s="721"/>
      <c r="AM12" s="721"/>
      <c r="AN12" s="545"/>
      <c r="AO12" s="721"/>
      <c r="AP12" s="721"/>
      <c r="AQ12" s="545"/>
      <c r="AR12" s="545"/>
      <c r="AT12" s="129"/>
      <c r="AU12" s="129" t="str">
        <f t="shared" si="28"/>
        <v xml:space="preserve">Добавить централизованную систему для дифференциации</v>
      </c>
      <c r="AV12" s="129"/>
      <c r="AW12" s="129"/>
      <c r="AX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239</v>
      </c>
      <c r="U13" s="545"/>
      <c r="V13" s="545"/>
      <c r="W13" s="545"/>
      <c r="X13" s="545"/>
      <c r="Y13" s="545"/>
      <c r="Z13" s="545"/>
      <c r="AA13" s="545"/>
      <c r="AB13" s="545"/>
      <c r="AC13" s="545"/>
      <c r="AD13" s="545"/>
      <c r="AE13" s="545"/>
      <c r="AF13" s="545"/>
      <c r="AG13" s="545"/>
      <c r="AH13" s="545"/>
      <c r="AI13" s="545"/>
      <c r="AJ13" s="721"/>
      <c r="AK13" s="721"/>
      <c r="AL13" s="721"/>
      <c r="AM13" s="721"/>
      <c r="AN13" s="545"/>
      <c r="AO13" s="721"/>
      <c r="AP13" s="721"/>
      <c r="AQ13" s="545"/>
      <c r="AR13" s="545"/>
      <c r="AT13" s="129"/>
      <c r="AU13" s="129" t="str">
        <f t="shared" si="28"/>
        <v xml:space="preserve">Добавить территорию для дифференциации</v>
      </c>
      <c r="AV13" s="129"/>
      <c r="AW13" s="129"/>
      <c r="AX13" s="57">
        <v>0</v>
      </c>
    </row>
    <row r="14" ht="14.25" hidden="1" customHeight="1">
      <c r="AB14" s="50"/>
      <c r="AI14" s="50"/>
      <c r="AJ14" s="702"/>
      <c r="AK14" s="702"/>
      <c r="AL14" s="702"/>
      <c r="AM14" s="702"/>
      <c r="AN14" s="50"/>
      <c r="AO14" s="702"/>
      <c r="AP14" s="702"/>
      <c r="AX14" s="50">
        <v>0</v>
      </c>
    </row>
    <row r="15" ht="14.25" hidden="1" customHeight="1">
      <c r="AC15" s="547"/>
      <c r="AD15" s="547"/>
      <c r="AE15" s="548"/>
      <c r="AF15" s="549"/>
      <c r="AG15" s="550" t="s">
        <v>66</v>
      </c>
      <c r="AH15" s="549"/>
      <c r="AI15" s="550" t="s">
        <v>66</v>
      </c>
      <c r="AJ15" s="702"/>
      <c r="AK15" s="702"/>
      <c r="AL15" s="702"/>
      <c r="AM15" s="702"/>
      <c r="AN15" s="50"/>
      <c r="AO15" s="702"/>
      <c r="AP15" s="702"/>
      <c r="AX15" s="50">
        <v>0</v>
      </c>
    </row>
    <row r="16" ht="14.25" hidden="1" customHeight="1">
      <c r="AC16" s="547"/>
      <c r="AD16" s="547"/>
      <c r="AE16" s="526" t="str">
        <f>AF15&amp;"-"&amp;AH15</f>
        <v>-</v>
      </c>
      <c r="AF16" s="550"/>
      <c r="AG16" s="550"/>
      <c r="AH16" s="550"/>
      <c r="AI16" s="550"/>
      <c r="AJ16" s="702"/>
      <c r="AK16" s="702"/>
      <c r="AL16" s="702"/>
      <c r="AM16" s="702"/>
      <c r="AN16" s="50"/>
      <c r="AO16" s="702"/>
      <c r="AP16" s="702"/>
      <c r="AX16" s="50">
        <v>0</v>
      </c>
    </row>
    <row r="17" ht="14.25" hidden="1" customHeight="1">
      <c r="AI17" s="50"/>
      <c r="AJ17" s="702"/>
      <c r="AK17" s="702"/>
      <c r="AL17" s="702"/>
      <c r="AM17" s="702"/>
      <c r="AN17" s="50"/>
      <c r="AO17" s="702"/>
      <c r="AP17" s="702"/>
      <c r="AX17" s="50">
        <v>0</v>
      </c>
    </row>
    <row r="18" s="53" customFormat="1" ht="22.5" hidden="1" customHeight="1">
      <c r="L18" s="113"/>
      <c r="M18" s="61"/>
      <c r="N18" s="61"/>
      <c r="O18" s="551" t="s">
        <v>417</v>
      </c>
      <c r="P18" s="61"/>
      <c r="Q18" s="552"/>
      <c r="R18" s="552"/>
      <c r="S18" s="496"/>
      <c r="Y18" s="551"/>
      <c r="AA18" s="551"/>
      <c r="AB18" s="53"/>
      <c r="AF18" s="551"/>
      <c r="AH18" s="551"/>
      <c r="AI18" s="53"/>
      <c r="AJ18" s="722"/>
      <c r="AK18" s="722"/>
      <c r="AL18" s="722"/>
      <c r="AM18" s="723"/>
      <c r="AN18" s="53"/>
      <c r="AO18" s="723"/>
      <c r="AP18" s="722"/>
      <c r="AS18" s="57"/>
      <c r="AT18" s="57"/>
      <c r="AU18" s="57"/>
      <c r="AV18" s="57"/>
      <c r="AW18" s="57"/>
      <c r="AX18" s="53">
        <v>0</v>
      </c>
    </row>
    <row r="19" s="53" customFormat="1" ht="14.25" hidden="1" customHeight="1">
      <c r="L19" s="113"/>
      <c r="M19" s="61"/>
      <c r="N19" s="61"/>
      <c r="O19" s="61"/>
      <c r="P19" s="61"/>
      <c r="Q19" s="552"/>
      <c r="R19" s="552"/>
      <c r="S19" s="496"/>
      <c r="AB19" s="53"/>
      <c r="AI19" s="53"/>
      <c r="AJ19" s="722"/>
      <c r="AK19" s="722"/>
      <c r="AL19" s="722"/>
      <c r="AM19" s="722"/>
      <c r="AN19" s="53"/>
      <c r="AO19" s="722"/>
      <c r="AP19" s="722"/>
      <c r="AS19" s="57"/>
      <c r="AT19" s="57"/>
      <c r="AU19" s="57"/>
      <c r="AV19" s="57"/>
      <c r="AW19" s="57"/>
      <c r="AX19" s="53">
        <v>0</v>
      </c>
    </row>
    <row r="20" s="53" customFormat="1" ht="12" hidden="1" customHeight="1">
      <c r="L20" s="113"/>
      <c r="M20" s="61"/>
      <c r="N20" s="61"/>
      <c r="O20" s="495" t="s">
        <v>418</v>
      </c>
      <c r="P20" s="61"/>
      <c r="Q20" s="701"/>
      <c r="R20" s="701"/>
      <c r="S20" s="496"/>
      <c r="T20" s="53" t="s">
        <v>419</v>
      </c>
      <c r="Z20" s="151" t="s">
        <v>420</v>
      </c>
      <c r="AB20" s="151" t="s">
        <v>421</v>
      </c>
      <c r="AC20" s="53" t="s">
        <v>419</v>
      </c>
      <c r="AG20" s="151" t="s">
        <v>422</v>
      </c>
      <c r="AI20" s="151" t="s">
        <v>421</v>
      </c>
      <c r="AJ20" s="722"/>
      <c r="AK20" s="722"/>
      <c r="AL20" s="722"/>
      <c r="AM20" s="722"/>
      <c r="AN20" s="151" t="s">
        <v>420</v>
      </c>
      <c r="AO20" s="722"/>
      <c r="AP20" s="724" t="s">
        <v>421</v>
      </c>
      <c r="AX20" s="53">
        <v>0</v>
      </c>
    </row>
    <row r="21" ht="14.25" hidden="1" customHeight="1">
      <c r="O21" s="495"/>
      <c r="AJ21" s="702"/>
      <c r="AK21" s="702"/>
      <c r="AL21" s="702"/>
      <c r="AM21" s="702"/>
      <c r="AN21" s="50"/>
      <c r="AO21" s="702"/>
      <c r="AP21" s="702"/>
      <c r="AX21" s="50">
        <v>0</v>
      </c>
    </row>
    <row r="22" ht="14.25" hidden="1" customHeight="1">
      <c r="O22" s="495"/>
      <c r="AJ22" s="702"/>
      <c r="AK22" s="702"/>
      <c r="AL22" s="702"/>
      <c r="AM22" s="702"/>
      <c r="AN22" s="50"/>
      <c r="AO22" s="702"/>
      <c r="AP22" s="702"/>
      <c r="AX22" s="50">
        <v>0</v>
      </c>
    </row>
    <row r="23" ht="14.65" customHeight="1">
      <c r="Q23" s="553"/>
      <c r="R23" s="553"/>
      <c r="S23" s="554"/>
      <c r="T23" s="91"/>
      <c r="U23" s="91"/>
      <c r="V23" s="50"/>
      <c r="W23" s="50"/>
      <c r="X23" s="50"/>
      <c r="Y23" s="50"/>
      <c r="Z23" s="50"/>
      <c r="AA23" s="50"/>
      <c r="AB23" s="50"/>
      <c r="AC23" s="50"/>
      <c r="AD23" s="50"/>
      <c r="AE23" s="50"/>
      <c r="AF23" s="50"/>
      <c r="AG23" s="50"/>
      <c r="AH23" s="50"/>
      <c r="AI23" s="50"/>
      <c r="AJ23" s="702"/>
      <c r="AK23" s="702"/>
      <c r="AL23" s="702"/>
      <c r="AM23" s="702"/>
      <c r="AN23" s="50"/>
      <c r="AO23" s="702"/>
      <c r="AP23" s="702"/>
      <c r="AX23" s="50">
        <v>14</v>
      </c>
    </row>
    <row r="24" ht="14.65" customHeight="1">
      <c r="Q24" s="553"/>
      <c r="R24" s="553"/>
      <c r="S24" s="466"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6"/>
      <c r="U24" s="466"/>
      <c r="V24" s="466"/>
      <c r="W24" s="466"/>
      <c r="X24" s="466"/>
      <c r="Y24" s="466"/>
      <c r="Z24" s="466"/>
      <c r="AA24" s="466"/>
      <c r="AB24" s="466"/>
      <c r="AC24" s="466"/>
      <c r="AD24" s="466"/>
      <c r="AE24" s="466"/>
      <c r="AF24" s="466"/>
      <c r="AG24" s="466"/>
      <c r="AH24" s="466"/>
      <c r="AI24" s="240"/>
      <c r="AJ24" s="725"/>
      <c r="AK24" s="725"/>
      <c r="AL24" s="725"/>
      <c r="AM24" s="725"/>
      <c r="AN24" s="466"/>
      <c r="AO24" s="725"/>
      <c r="AP24" s="725"/>
      <c r="AX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J25" s="726"/>
      <c r="AK25" s="726"/>
      <c r="AL25" s="726"/>
      <c r="AM25" s="726"/>
      <c r="AN25" s="320"/>
      <c r="AO25" s="726"/>
      <c r="AP25" s="726"/>
      <c r="AX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727"/>
      <c r="AK26" s="727"/>
      <c r="AL26" s="727"/>
      <c r="AM26" s="727"/>
      <c r="AN26" s="555"/>
      <c r="AO26" s="727"/>
      <c r="AP26" s="727"/>
      <c r="AQ26" s="50"/>
      <c r="AX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728" t="str">
        <f>IF(TITLE_NAME_OR_PR_CHANGE="",IF(TITLE_NAME_OR_PR="","",TITLE_NAME_OR_PR),TITLE_NAME_OR_PR_CHANGE)</f>
        <v/>
      </c>
      <c r="AK27" s="728"/>
      <c r="AL27" s="728"/>
      <c r="AM27" s="728"/>
      <c r="AN27" s="558"/>
      <c r="AO27" s="728"/>
      <c r="AP27" s="702"/>
      <c r="AQ27" s="50"/>
      <c r="AR27" s="559"/>
      <c r="AS27" s="129"/>
      <c r="AT27" s="129"/>
      <c r="AU27" s="129"/>
      <c r="AV27" s="129"/>
      <c r="AW27" s="129"/>
      <c r="AX27" s="184">
        <v>0</v>
      </c>
    </row>
    <row r="28" s="184" customFormat="1" ht="18.75" hidden="1" customHeight="1">
      <c r="A28" s="151"/>
      <c r="B28" s="151"/>
      <c r="C28" s="151"/>
      <c r="D28" s="151"/>
      <c r="E28" s="151"/>
      <c r="F28" s="151"/>
      <c r="G28" s="151"/>
      <c r="H28" s="151"/>
      <c r="I28" s="151"/>
      <c r="J28" s="151"/>
      <c r="K28" s="151"/>
      <c r="L28" s="495"/>
      <c r="M28" s="151"/>
      <c r="N28" s="151"/>
      <c r="O28" s="151"/>
      <c r="S28" s="556" t="s">
        <v>423</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729" t="str">
        <f>IF(TITLE_DATE_PR_CHANGE="",IF(TITLE_DATE_PR="","",TITLE_DATE_PR),TITLE_DATE_PR_CHANGE)</f>
        <v>45406</v>
      </c>
      <c r="AK28" s="560"/>
      <c r="AL28" s="560"/>
      <c r="AM28" s="560"/>
      <c r="AN28" s="560"/>
      <c r="AO28" s="560"/>
      <c r="AP28" s="702"/>
      <c r="AQ28" s="50"/>
      <c r="AR28" s="559"/>
      <c r="AS28" s="129"/>
      <c r="AT28" s="129"/>
      <c r="AU28" s="129"/>
      <c r="AV28" s="129"/>
      <c r="AW28" s="129"/>
      <c r="AX28" s="184">
        <v>0</v>
      </c>
    </row>
    <row r="29" s="184" customFormat="1" ht="18.75" hidden="1" customHeight="1">
      <c r="A29" s="151"/>
      <c r="B29" s="151"/>
      <c r="C29" s="151"/>
      <c r="D29" s="151"/>
      <c r="E29" s="151"/>
      <c r="F29" s="151"/>
      <c r="G29" s="151"/>
      <c r="H29" s="151"/>
      <c r="I29" s="151"/>
      <c r="J29" s="151"/>
      <c r="K29" s="151"/>
      <c r="L29" s="495"/>
      <c r="M29" s="151"/>
      <c r="N29" s="151"/>
      <c r="O29" s="151"/>
      <c r="S29" s="556" t="s">
        <v>424</v>
      </c>
      <c r="T29" s="556"/>
      <c r="U29" s="557"/>
      <c r="V29" s="558" t="str">
        <f>IF(TITLE_NUMBER_PR_CHANGE="",IF(TITLE_NUMBER_PR="","",TITLE_NUMBER_PR),TITLE_NUMBER_PR_CHANGE)</f>
        <v>ПГ/01/950</v>
      </c>
      <c r="W29" s="558"/>
      <c r="X29" s="558"/>
      <c r="Y29" s="558"/>
      <c r="Z29" s="558"/>
      <c r="AA29" s="558"/>
      <c r="AB29" s="50"/>
      <c r="AC29" s="558" t="str">
        <f>IF(TITLE_NUMBER_PR_CHANGE="",IF(TITLE_NUMBER_PR="","",TITLE_NUMBER_PR),TITLE_NUMBER_PR_CHANGE)</f>
        <v>ПГ/01/950</v>
      </c>
      <c r="AD29" s="558"/>
      <c r="AE29" s="558"/>
      <c r="AF29" s="558"/>
      <c r="AG29" s="558"/>
      <c r="AH29" s="558"/>
      <c r="AI29" s="50"/>
      <c r="AJ29" s="728" t="str">
        <f>IF(TITLE_NUMBER_PR_CHANGE="",IF(TITLE_NUMBER_PR="","",TITLE_NUMBER_PR),TITLE_NUMBER_PR_CHANGE)</f>
        <v>ПГ/01/950</v>
      </c>
      <c r="AK29" s="728"/>
      <c r="AL29" s="728"/>
      <c r="AM29" s="728"/>
      <c r="AN29" s="558"/>
      <c r="AO29" s="728"/>
      <c r="AP29" s="702"/>
      <c r="AQ29" s="50"/>
      <c r="AR29" s="559"/>
      <c r="AS29" s="129"/>
      <c r="AT29" s="129"/>
      <c r="AU29" s="129"/>
      <c r="AV29" s="129"/>
      <c r="AW29" s="129"/>
      <c r="AX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728" t="str">
        <f>IF(TITLE_IST_PUB_CHANGE="",IF(TITLE_IST_PUB="","",TITLE_IST_PUB),TITLE_IST_PUB_CHANGE)</f>
        <v/>
      </c>
      <c r="AK30" s="728"/>
      <c r="AL30" s="728"/>
      <c r="AM30" s="728"/>
      <c r="AN30" s="558"/>
      <c r="AO30" s="728"/>
      <c r="AP30" s="702"/>
      <c r="AQ30" s="50"/>
      <c r="AR30" s="559"/>
      <c r="AS30" s="129"/>
      <c r="AT30" s="129"/>
      <c r="AU30" s="129"/>
      <c r="AV30" s="129"/>
      <c r="AW30" s="129"/>
      <c r="AX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727"/>
      <c r="AK31" s="727"/>
      <c r="AL31" s="727"/>
      <c r="AM31" s="727"/>
      <c r="AN31" s="555"/>
      <c r="AO31" s="727"/>
      <c r="AP31" s="727"/>
      <c r="AQ31" s="50"/>
      <c r="AX31" s="50">
        <v>0</v>
      </c>
    </row>
    <row r="32" s="184" customFormat="1" ht="18.75" customHeight="1">
      <c r="A32" s="151"/>
      <c r="B32" s="151"/>
      <c r="C32" s="151"/>
      <c r="D32" s="151"/>
      <c r="E32" s="151"/>
      <c r="F32" s="151"/>
      <c r="G32" s="151"/>
      <c r="H32" s="151"/>
      <c r="I32" s="151"/>
      <c r="J32" s="151"/>
      <c r="K32" s="151"/>
      <c r="L32" s="495"/>
      <c r="M32" s="151"/>
      <c r="N32" s="151"/>
      <c r="O32" s="151"/>
      <c r="S32" s="556" t="s">
        <v>425</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60" t="str">
        <f>IF(TITLE_DATE_PR_CHANGE="",IF(TITLE_DATE_PR="","",TITLE_DATE_PR),TITLE_DATE_PR_CHANGE)</f>
        <v>45406</v>
      </c>
      <c r="AK32" s="560"/>
      <c r="AL32" s="560"/>
      <c r="AM32" s="560"/>
      <c r="AN32" s="560"/>
      <c r="AO32" s="560"/>
      <c r="AP32" s="702"/>
      <c r="AQ32" s="50"/>
      <c r="AR32" s="559"/>
      <c r="AS32" s="129"/>
      <c r="AT32" s="129"/>
      <c r="AU32" s="129"/>
      <c r="AV32" s="129"/>
      <c r="AW32" s="129"/>
      <c r="AX32" s="184">
        <v>0</v>
      </c>
    </row>
    <row r="33" s="184" customFormat="1" ht="18.75" customHeight="1">
      <c r="A33" s="151"/>
      <c r="B33" s="151"/>
      <c r="C33" s="151"/>
      <c r="D33" s="151"/>
      <c r="E33" s="151"/>
      <c r="F33" s="151"/>
      <c r="G33" s="151"/>
      <c r="H33" s="151"/>
      <c r="I33" s="151"/>
      <c r="J33" s="151"/>
      <c r="K33" s="151"/>
      <c r="L33" s="495"/>
      <c r="M33" s="151"/>
      <c r="N33" s="151"/>
      <c r="O33" s="151"/>
      <c r="S33" s="556" t="s">
        <v>426</v>
      </c>
      <c r="T33" s="556"/>
      <c r="U33" s="557"/>
      <c r="V33" s="558" t="str">
        <f>IF(TITLE_NUMBER_PR_CHANGE="",IF(TITLE_NUMBER_PR="","",TITLE_NUMBER_PR),TITLE_NUMBER_PR_CHANGE)</f>
        <v>ПГ/01/950</v>
      </c>
      <c r="W33" s="558"/>
      <c r="X33" s="558"/>
      <c r="Y33" s="558"/>
      <c r="Z33" s="558"/>
      <c r="AA33" s="558"/>
      <c r="AB33" s="50"/>
      <c r="AC33" s="558" t="str">
        <f>IF(TITLE_NUMBER_PR_CHANGE="",IF(TITLE_NUMBER_PR="","",TITLE_NUMBER_PR),TITLE_NUMBER_PR_CHANGE)</f>
        <v>ПГ/01/950</v>
      </c>
      <c r="AD33" s="558"/>
      <c r="AE33" s="558"/>
      <c r="AF33" s="558"/>
      <c r="AG33" s="558"/>
      <c r="AH33" s="558"/>
      <c r="AI33" s="50"/>
      <c r="AJ33" s="728" t="str">
        <f>IF(TITLE_NUMBER_PR_CHANGE="",IF(TITLE_NUMBER_PR="","",TITLE_NUMBER_PR),TITLE_NUMBER_PR_CHANGE)</f>
        <v>ПГ/01/950</v>
      </c>
      <c r="AK33" s="728"/>
      <c r="AL33" s="728"/>
      <c r="AM33" s="728"/>
      <c r="AN33" s="558"/>
      <c r="AO33" s="728"/>
      <c r="AP33" s="702"/>
      <c r="AQ33" s="50"/>
      <c r="AR33" s="559"/>
      <c r="AS33" s="129"/>
      <c r="AT33" s="129"/>
      <c r="AU33" s="129"/>
      <c r="AV33" s="129"/>
      <c r="AW33" s="129"/>
      <c r="AX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427</v>
      </c>
      <c r="AC34" s="50"/>
      <c r="AD34" s="50"/>
      <c r="AE34" s="50"/>
      <c r="AF34" s="50"/>
      <c r="AG34" s="50"/>
      <c r="AH34" s="50"/>
      <c r="AI34" s="57" t="s">
        <v>427</v>
      </c>
      <c r="AJ34" s="702"/>
      <c r="AK34" s="702"/>
      <c r="AL34" s="702"/>
      <c r="AM34" s="702"/>
      <c r="AN34" s="50"/>
      <c r="AO34" s="702"/>
      <c r="AP34" s="730" t="s">
        <v>427</v>
      </c>
      <c r="AS34" s="129"/>
      <c r="AT34" s="129"/>
      <c r="AU34" s="129"/>
      <c r="AV34" s="129"/>
      <c r="AW34" s="129"/>
      <c r="AX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J35" s="731" t="s">
        <v>496</v>
      </c>
      <c r="AK35" s="731"/>
      <c r="AL35" s="731"/>
      <c r="AM35" s="731"/>
      <c r="AN35" s="562"/>
      <c r="AO35" s="731"/>
      <c r="AP35" s="731"/>
      <c r="AX35" s="50">
        <v>14</v>
      </c>
    </row>
    <row r="36" ht="15" customHeight="1">
      <c r="Q36" s="553"/>
      <c r="R36" s="553"/>
      <c r="S36" s="157" t="s">
        <v>302</v>
      </c>
      <c r="T36" s="157"/>
      <c r="U36" s="157"/>
      <c r="V36" s="157"/>
      <c r="W36" s="157"/>
      <c r="X36" s="157"/>
      <c r="Y36" s="157"/>
      <c r="Z36" s="157"/>
      <c r="AA36" s="157"/>
      <c r="AB36" s="157"/>
      <c r="AC36" s="157"/>
      <c r="AD36" s="157"/>
      <c r="AE36" s="157"/>
      <c r="AF36" s="157"/>
      <c r="AG36" s="157"/>
      <c r="AH36" s="157"/>
      <c r="AI36" s="157"/>
      <c r="AJ36" s="732" t="s">
        <v>302</v>
      </c>
      <c r="AK36" s="732"/>
      <c r="AL36" s="732"/>
      <c r="AM36" s="732"/>
      <c r="AN36" s="157"/>
      <c r="AO36" s="732"/>
      <c r="AP36" s="732"/>
      <c r="AQ36" s="157"/>
      <c r="AR36" s="157"/>
      <c r="AX36" s="50"/>
    </row>
    <row r="37" ht="14.65" customHeight="1">
      <c r="Q37" s="553"/>
      <c r="R37" s="553"/>
      <c r="S37" s="498" t="s">
        <v>88</v>
      </c>
      <c r="T37" s="362" t="s">
        <v>428</v>
      </c>
      <c r="U37" s="563"/>
      <c r="V37" s="564" t="s">
        <v>429</v>
      </c>
      <c r="W37" s="565"/>
      <c r="X37" s="565"/>
      <c r="Y37" s="565"/>
      <c r="Z37" s="565"/>
      <c r="AA37" s="566"/>
      <c r="AB37" s="567" t="s">
        <v>430</v>
      </c>
      <c r="AC37" s="564" t="s">
        <v>429</v>
      </c>
      <c r="AD37" s="565"/>
      <c r="AE37" s="565"/>
      <c r="AF37" s="565"/>
      <c r="AG37" s="565"/>
      <c r="AH37" s="566"/>
      <c r="AI37" s="567" t="s">
        <v>431</v>
      </c>
      <c r="AJ37" s="733" t="s">
        <v>429</v>
      </c>
      <c r="AK37" s="734"/>
      <c r="AL37" s="734"/>
      <c r="AM37" s="734"/>
      <c r="AN37" s="565"/>
      <c r="AO37" s="735"/>
      <c r="AP37" s="736" t="s">
        <v>430</v>
      </c>
      <c r="AQ37" s="568" t="s">
        <v>432</v>
      </c>
      <c r="AR37" s="157"/>
      <c r="AX37" s="50">
        <v>14</v>
      </c>
    </row>
    <row r="38" ht="35.649999999999999" customHeight="1">
      <c r="Q38" s="553"/>
      <c r="R38" s="553"/>
      <c r="S38" s="498"/>
      <c r="T38" s="362"/>
      <c r="U38" s="569"/>
      <c r="V38" s="324" t="s">
        <v>488</v>
      </c>
      <c r="W38" s="73" t="s">
        <v>435</v>
      </c>
      <c r="X38" s="72"/>
      <c r="Y38" s="73" t="s">
        <v>436</v>
      </c>
      <c r="Z38" s="145"/>
      <c r="AA38" s="72"/>
      <c r="AB38" s="571"/>
      <c r="AC38" s="324" t="s">
        <v>488</v>
      </c>
      <c r="AD38" s="73" t="s">
        <v>435</v>
      </c>
      <c r="AE38" s="72"/>
      <c r="AF38" s="73" t="s">
        <v>436</v>
      </c>
      <c r="AG38" s="145"/>
      <c r="AH38" s="72"/>
      <c r="AI38" s="571"/>
      <c r="AJ38" s="737" t="s">
        <v>488</v>
      </c>
      <c r="AK38" s="738" t="s">
        <v>435</v>
      </c>
      <c r="AL38" s="739"/>
      <c r="AM38" s="738" t="s">
        <v>436</v>
      </c>
      <c r="AN38" s="145"/>
      <c r="AO38" s="739"/>
      <c r="AP38" s="740"/>
      <c r="AQ38" s="572"/>
      <c r="AR38" s="157"/>
      <c r="AX38" s="50">
        <v>34</v>
      </c>
    </row>
    <row r="39" ht="35.649999999999999" customHeight="1">
      <c r="A39" s="151"/>
      <c r="B39" s="151" t="s">
        <v>135</v>
      </c>
      <c r="C39" s="151" t="s">
        <v>136</v>
      </c>
      <c r="D39" s="151" t="s">
        <v>137</v>
      </c>
      <c r="E39" s="495" t="s">
        <v>437</v>
      </c>
      <c r="F39" s="495" t="s">
        <v>438</v>
      </c>
      <c r="G39" s="495" t="s">
        <v>439</v>
      </c>
      <c r="H39" s="495"/>
      <c r="I39" s="495" t="s">
        <v>489</v>
      </c>
      <c r="J39" s="495" t="s">
        <v>442</v>
      </c>
      <c r="K39" s="495" t="s">
        <v>490</v>
      </c>
      <c r="L39" s="495" t="s">
        <v>418</v>
      </c>
      <c r="Q39" s="553"/>
      <c r="R39" s="553"/>
      <c r="S39" s="498"/>
      <c r="T39" s="362"/>
      <c r="U39" s="573"/>
      <c r="V39" s="324" t="s">
        <v>491</v>
      </c>
      <c r="W39" s="246" t="s">
        <v>492</v>
      </c>
      <c r="X39" s="246" t="s">
        <v>493</v>
      </c>
      <c r="Y39" s="246" t="s">
        <v>446</v>
      </c>
      <c r="Z39" s="429" t="s">
        <v>447</v>
      </c>
      <c r="AA39" s="431"/>
      <c r="AB39" s="575"/>
      <c r="AC39" s="324" t="s">
        <v>491</v>
      </c>
      <c r="AD39" s="246" t="s">
        <v>492</v>
      </c>
      <c r="AE39" s="246" t="s">
        <v>493</v>
      </c>
      <c r="AF39" s="246" t="s">
        <v>446</v>
      </c>
      <c r="AG39" s="429" t="s">
        <v>447</v>
      </c>
      <c r="AH39" s="431"/>
      <c r="AI39" s="575"/>
      <c r="AJ39" s="737" t="s">
        <v>491</v>
      </c>
      <c r="AK39" s="741" t="s">
        <v>492</v>
      </c>
      <c r="AL39" s="741" t="s">
        <v>493</v>
      </c>
      <c r="AM39" s="741" t="s">
        <v>446</v>
      </c>
      <c r="AN39" s="429" t="s">
        <v>447</v>
      </c>
      <c r="AO39" s="742"/>
      <c r="AP39" s="743"/>
      <c r="AQ39" s="576"/>
      <c r="AR39" s="157"/>
      <c r="AX39" s="50">
        <v>34</v>
      </c>
    </row>
    <row r="40" s="131" customFormat="1" ht="0"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744">
        <f ca="1">OFFSET(AJ40,0,-1)+1</f>
        <v>15</v>
      </c>
      <c r="AK40" s="744">
        <f ca="1">OFFSET(AK40,0,-1)+1</f>
        <v>16</v>
      </c>
      <c r="AL40" s="744">
        <f ca="1">OFFSET(AL40,0,-1)+1</f>
        <v>17</v>
      </c>
      <c r="AM40" s="744">
        <f ca="1">OFFSET(AM40,0,-1)+1</f>
        <v>18</v>
      </c>
      <c r="AN40" s="583">
        <f ca="1">OFFSET(AN40,0,-1)+1</f>
        <v>19</v>
      </c>
      <c r="AO40" s="744"/>
      <c r="AP40" s="744">
        <f ca="1">OFFSET(AP40,0,-2)+1</f>
        <v>20</v>
      </c>
      <c r="AQ40" s="582">
        <f ca="1">OFFSET(AQ40,0,-1)</f>
        <v>20</v>
      </c>
      <c r="AR40" s="583">
        <f ca="1">OFFSET(AR40,0,-1)+1</f>
        <v>21</v>
      </c>
      <c r="AS40" s="57"/>
      <c r="AT40" s="57"/>
      <c r="AU40" s="57"/>
      <c r="AV40" s="57"/>
      <c r="AW40" s="57"/>
      <c r="AX40" s="131">
        <v>0</v>
      </c>
    </row>
    <row r="41" ht="24" customHeight="1">
      <c r="A41" s="493" t="s">
        <v>235</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1</v>
      </c>
      <c r="T41" s="499" t="s">
        <v>123</v>
      </c>
      <c r="U41" s="500"/>
      <c r="V41" s="501"/>
      <c r="W41" s="502"/>
      <c r="X41" s="502"/>
      <c r="Y41" s="502"/>
      <c r="Z41" s="502"/>
      <c r="AA41" s="502"/>
      <c r="AB41" s="503"/>
      <c r="AC41" s="501" t="str">
        <f>INDEX(PT_DIFFERENTIATION_NTAR,MATCH(A41,PT_DIFFERENTIATION_NTAR_ID,0))</f>
        <v xml:space="preserve">Тариф на транспортировку питьевой воды</v>
      </c>
      <c r="AD41" s="502"/>
      <c r="AE41" s="502"/>
      <c r="AF41" s="502"/>
      <c r="AG41" s="502"/>
      <c r="AH41" s="502"/>
      <c r="AI41" s="502"/>
      <c r="AJ41" s="703"/>
      <c r="AK41" s="704"/>
      <c r="AL41" s="704"/>
      <c r="AM41" s="704"/>
      <c r="AN41" s="502"/>
      <c r="AO41" s="704"/>
      <c r="AP41" s="705"/>
      <c r="AQ41" s="503"/>
      <c r="AR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129"/>
      <c r="AU41" s="129" t="str">
        <f t="shared" si="28"/>
        <v xml:space="preserve">Наименование тарифа</v>
      </c>
      <c r="AV41" s="129"/>
      <c r="AW41" s="129"/>
      <c r="AX41" s="50">
        <v>23</v>
      </c>
    </row>
    <row r="42" ht="24" customHeight="1">
      <c r="A42" s="493" t="s">
        <v>235</v>
      </c>
      <c r="B42" s="493" t="s">
        <v>236</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1.1</v>
      </c>
      <c r="T42" s="508" t="s">
        <v>399</v>
      </c>
      <c r="U42" s="500"/>
      <c r="V42" s="501"/>
      <c r="W42" s="502"/>
      <c r="X42" s="502"/>
      <c r="Y42" s="502"/>
      <c r="Z42" s="502"/>
      <c r="AA42" s="502"/>
      <c r="AB42" s="503"/>
      <c r="AC42" s="501" t="str">
        <f>INDEX(PT_DIFFERENTIATION_TER,MATCH(B42,PT_DIFFERENTIATION_TER_ID,0))</f>
        <v xml:space="preserve">без дифференциации</v>
      </c>
      <c r="AD42" s="502"/>
      <c r="AE42" s="502"/>
      <c r="AF42" s="502"/>
      <c r="AG42" s="502"/>
      <c r="AH42" s="502"/>
      <c r="AI42" s="502"/>
      <c r="AJ42" s="703"/>
      <c r="AK42" s="704"/>
      <c r="AL42" s="704"/>
      <c r="AM42" s="704"/>
      <c r="AN42" s="502"/>
      <c r="AO42" s="704"/>
      <c r="AP42" s="705"/>
      <c r="AQ42" s="503"/>
      <c r="AR42" s="504" t="s">
        <v>400</v>
      </c>
      <c r="AT42" s="129"/>
      <c r="AU42" s="129" t="str">
        <f t="shared" si="28"/>
        <v xml:space="preserve">Территория действия тарифа</v>
      </c>
      <c r="AV42" s="129"/>
      <c r="AW42" s="129"/>
      <c r="AX42" s="50">
        <v>23</v>
      </c>
    </row>
    <row r="43" ht="24" customHeight="1">
      <c r="A43" s="493" t="s">
        <v>235</v>
      </c>
      <c r="B43" s="493" t="s">
        <v>236</v>
      </c>
      <c r="C43" s="493" t="s">
        <v>237</v>
      </c>
      <c r="D43" s="493"/>
      <c r="E43" s="505"/>
      <c r="F43" s="505"/>
      <c r="G43" s="494">
        <v>1</v>
      </c>
      <c r="H43" s="493"/>
      <c r="I43" s="493"/>
      <c r="J43" s="493"/>
      <c r="K43" s="493"/>
      <c r="L43" s="495"/>
      <c r="M43" s="496"/>
      <c r="N43" s="496"/>
      <c r="O43" s="496"/>
      <c r="P43" s="509"/>
      <c r="Q43" s="506"/>
      <c r="R43" s="507"/>
      <c r="S43" s="498" t="str">
        <f>INDEX(PT_DIFFERENTIATION_NUM_CS,MATCH(C43,PT_DIFFERENTIATION_CS_ID,0))</f>
        <v>1.1.1</v>
      </c>
      <c r="T43" s="510" t="s">
        <v>480</v>
      </c>
      <c r="U43" s="500"/>
      <c r="V43" s="501"/>
      <c r="W43" s="502"/>
      <c r="X43" s="502"/>
      <c r="Y43" s="502"/>
      <c r="Z43" s="502"/>
      <c r="AA43" s="502"/>
      <c r="AB43" s="503"/>
      <c r="AC43" s="501" t="str">
        <f>INDEX(PT_DIFFERENTIATION_CS,MATCH(C43,PT_DIFFERENTIATION_CS_ID,0))</f>
        <v xml:space="preserve">без дифференциации</v>
      </c>
      <c r="AD43" s="502"/>
      <c r="AE43" s="502"/>
      <c r="AF43" s="502"/>
      <c r="AG43" s="502"/>
      <c r="AH43" s="502"/>
      <c r="AI43" s="502"/>
      <c r="AJ43" s="703"/>
      <c r="AK43" s="704"/>
      <c r="AL43" s="704"/>
      <c r="AM43" s="704"/>
      <c r="AN43" s="502"/>
      <c r="AO43" s="704"/>
      <c r="AP43" s="705"/>
      <c r="AQ43" s="503"/>
      <c r="AR43" s="504" t="s">
        <v>481</v>
      </c>
      <c r="AT43" s="129"/>
      <c r="AU43" s="129" t="str">
        <f t="shared" si="28"/>
        <v xml:space="preserve">Наименование централизованной системы холодного водоснабжения</v>
      </c>
      <c r="AV43" s="129"/>
      <c r="AW43" s="129"/>
      <c r="AX43" s="50">
        <v>23</v>
      </c>
    </row>
    <row r="44" ht="24" customHeight="1">
      <c r="A44" s="493" t="s">
        <v>235</v>
      </c>
      <c r="B44" s="493" t="s">
        <v>236</v>
      </c>
      <c r="C44" s="493" t="s">
        <v>237</v>
      </c>
      <c r="D44" s="493" t="s">
        <v>497</v>
      </c>
      <c r="E44" s="505"/>
      <c r="F44" s="505"/>
      <c r="G44" s="505"/>
      <c r="H44" s="505"/>
      <c r="I44" s="512" t="str">
        <f>S43&amp;".1"</f>
        <v>1.1.1.1</v>
      </c>
      <c r="J44" s="493"/>
      <c r="K44" s="493"/>
      <c r="L44" s="495"/>
      <c r="P44" s="132">
        <v>1</v>
      </c>
      <c r="Q44" s="132"/>
      <c r="R44" s="513"/>
      <c r="S44" s="498" t="str">
        <f>$I44</f>
        <v>1.1.1.1</v>
      </c>
      <c r="T44" s="514" t="s">
        <v>482</v>
      </c>
      <c r="U44" s="500"/>
      <c r="V44" s="689"/>
      <c r="W44" s="690"/>
      <c r="X44" s="690"/>
      <c r="Y44" s="690"/>
      <c r="Z44" s="690"/>
      <c r="AA44" s="690"/>
      <c r="AB44" s="691"/>
      <c r="AC44" s="692" t="s">
        <v>19</v>
      </c>
      <c r="AD44" s="693"/>
      <c r="AE44" s="693"/>
      <c r="AF44" s="693"/>
      <c r="AG44" s="693"/>
      <c r="AH44" s="693"/>
      <c r="AI44" s="693"/>
      <c r="AJ44" s="706"/>
      <c r="AK44" s="707"/>
      <c r="AL44" s="707"/>
      <c r="AM44" s="707"/>
      <c r="AN44" s="690"/>
      <c r="AO44" s="707"/>
      <c r="AP44" s="708"/>
      <c r="AQ44" s="694"/>
      <c r="AR44" s="504" t="s">
        <v>483</v>
      </c>
      <c r="AT44" s="129"/>
      <c r="AU44" s="129" t="str">
        <f t="shared" si="28"/>
        <v xml:space="preserve">Наименование признака дифференциации</v>
      </c>
      <c r="AV44" s="129"/>
      <c r="AW44" s="129"/>
      <c r="AX44" s="50">
        <v>23</v>
      </c>
    </row>
    <row r="45" ht="24" customHeight="1">
      <c r="A45" s="493" t="s">
        <v>235</v>
      </c>
      <c r="B45" s="493" t="s">
        <v>236</v>
      </c>
      <c r="C45" s="493" t="s">
        <v>237</v>
      </c>
      <c r="D45" s="493" t="s">
        <v>497</v>
      </c>
      <c r="E45" s="505"/>
      <c r="F45" s="505"/>
      <c r="G45" s="505"/>
      <c r="H45" s="505"/>
      <c r="I45" s="517"/>
      <c r="J45" s="512" t="str">
        <f>I44&amp;".1"</f>
        <v>1.1.1.1.1</v>
      </c>
      <c r="K45" s="493"/>
      <c r="L45" s="495" t="s">
        <v>408</v>
      </c>
      <c r="P45" s="132"/>
      <c r="Q45" s="132">
        <v>1</v>
      </c>
      <c r="R45" s="518"/>
      <c r="S45" s="498" t="str">
        <f>$J45</f>
        <v>1.1.1.1.1</v>
      </c>
      <c r="T45" s="519" t="s">
        <v>409</v>
      </c>
      <c r="U45" s="500"/>
      <c r="V45" s="445"/>
      <c r="W45" s="515"/>
      <c r="X45" s="515"/>
      <c r="Y45" s="515"/>
      <c r="Z45" s="515"/>
      <c r="AA45" s="515"/>
      <c r="AB45" s="516"/>
      <c r="AC45" s="445" t="s">
        <v>498</v>
      </c>
      <c r="AD45" s="515"/>
      <c r="AE45" s="515"/>
      <c r="AF45" s="515"/>
      <c r="AG45" s="515"/>
      <c r="AH45" s="515"/>
      <c r="AI45" s="515"/>
      <c r="AJ45" s="709"/>
      <c r="AK45" s="710"/>
      <c r="AL45" s="710"/>
      <c r="AM45" s="710"/>
      <c r="AN45" s="515"/>
      <c r="AO45" s="710"/>
      <c r="AP45" s="711"/>
      <c r="AQ45" s="516"/>
      <c r="AR45" s="631" t="s">
        <v>484</v>
      </c>
      <c r="AT45" s="129"/>
      <c r="AU45" s="129" t="str">
        <f t="shared" si="28"/>
        <v xml:space="preserve">Группа потребителей</v>
      </c>
      <c r="AV45" s="129"/>
      <c r="AW45" s="129"/>
      <c r="AX45" s="50">
        <v>23</v>
      </c>
    </row>
    <row r="46" ht="32.25" customHeight="1">
      <c r="A46" s="493" t="s">
        <v>235</v>
      </c>
      <c r="B46" s="493" t="s">
        <v>236</v>
      </c>
      <c r="C46" s="493" t="s">
        <v>237</v>
      </c>
      <c r="D46" s="493" t="s">
        <v>497</v>
      </c>
      <c r="E46" s="505"/>
      <c r="F46" s="505"/>
      <c r="G46" s="505"/>
      <c r="H46" s="505"/>
      <c r="I46" s="517"/>
      <c r="J46" s="517"/>
      <c r="K46" s="512" t="str">
        <f>J45&amp;".1"</f>
        <v>1.1.1.1.1.1</v>
      </c>
      <c r="L46" s="495"/>
      <c r="P46" s="132"/>
      <c r="Q46" s="132"/>
      <c r="R46" s="518">
        <v>1</v>
      </c>
      <c r="S46" s="498" t="str">
        <f>$K46</f>
        <v>1.1.1.1.1.1</v>
      </c>
      <c r="T46" s="695" t="s">
        <v>499</v>
      </c>
      <c r="U46" s="500"/>
      <c r="V46" s="521"/>
      <c r="W46" s="521"/>
      <c r="X46" s="523"/>
      <c r="Y46" s="524"/>
      <c r="Z46" s="224" t="s">
        <v>66</v>
      </c>
      <c r="AA46" s="524"/>
      <c r="AB46" s="224" t="s">
        <v>66</v>
      </c>
      <c r="AC46" s="521">
        <v>72.319999999999993</v>
      </c>
      <c r="AD46" s="521"/>
      <c r="AE46" s="523"/>
      <c r="AF46" s="524">
        <v>45658.547384259262</v>
      </c>
      <c r="AG46" s="224" t="s">
        <v>66</v>
      </c>
      <c r="AH46" s="584">
        <v>45838.668182870373</v>
      </c>
      <c r="AI46" s="224" t="s">
        <v>66</v>
      </c>
      <c r="AJ46" s="521">
        <v>192.78999999999999</v>
      </c>
      <c r="AK46" s="712"/>
      <c r="AL46" s="713"/>
      <c r="AM46" s="524">
        <v>45839.670127314814</v>
      </c>
      <c r="AN46" s="224" t="s">
        <v>66</v>
      </c>
      <c r="AO46" s="524">
        <v>46022.670370370368</v>
      </c>
      <c r="AP46" s="224" t="s">
        <v>66</v>
      </c>
      <c r="AQ46" s="696"/>
      <c r="AR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7" t="e">
        <f>STRCHECKDATE(V47:AQ47)</f>
        <v>#NAME?</v>
      </c>
      <c r="AT46" s="129"/>
      <c r="AU46" s="129" t="str">
        <f t="shared" si="28"/>
        <v xml:space="preserve">Тариф на услуги по транспортировке сточных вод (признака дифференциации нет)</v>
      </c>
      <c r="AV46" s="129"/>
      <c r="AW46" s="129"/>
      <c r="AX46" s="50">
        <v>23</v>
      </c>
    </row>
    <row r="47" ht="0" customHeight="1">
      <c r="A47" s="493" t="s">
        <v>235</v>
      </c>
      <c r="B47" s="493" t="s">
        <v>236</v>
      </c>
      <c r="C47" s="493" t="s">
        <v>237</v>
      </c>
      <c r="D47" s="493" t="s">
        <v>497</v>
      </c>
      <c r="E47" s="505"/>
      <c r="F47" s="505"/>
      <c r="G47" s="505"/>
      <c r="H47" s="505"/>
      <c r="I47" s="517"/>
      <c r="J47" s="517"/>
      <c r="K47" s="512"/>
      <c r="L47" s="495"/>
      <c r="P47" s="132"/>
      <c r="Q47" s="132"/>
      <c r="R47" s="518"/>
      <c r="S47" s="472"/>
      <c r="T47" s="500"/>
      <c r="U47" s="500"/>
      <c r="V47" s="522"/>
      <c r="W47" s="522"/>
      <c r="X47" s="526" t="str">
        <f>Y46&amp;"-"&amp;AA46</f>
        <v>-</v>
      </c>
      <c r="Y47" s="527"/>
      <c r="Z47" s="224"/>
      <c r="AA47" s="527"/>
      <c r="AB47" s="224"/>
      <c r="AC47" s="522"/>
      <c r="AD47" s="522"/>
      <c r="AE47" s="526" t="str">
        <f>AF46&amp;"-"&amp;AH46</f>
        <v>45658.54738425926-45838.66818287037</v>
      </c>
      <c r="AF47" s="527"/>
      <c r="AG47" s="224"/>
      <c r="AH47" s="586"/>
      <c r="AI47" s="224"/>
      <c r="AJ47" s="716"/>
      <c r="AK47" s="716"/>
      <c r="AL47" s="526" t="str">
        <f>AM46&amp;"-"&amp;AO46</f>
        <v>45839.670127314814-46022.67037037037</v>
      </c>
      <c r="AM47" s="718"/>
      <c r="AN47" s="224"/>
      <c r="AO47" s="718"/>
      <c r="AP47" s="224"/>
      <c r="AQ47" s="698"/>
      <c r="AR47" s="697"/>
      <c r="AT47" s="129"/>
      <c r="AU47" s="129" t="str">
        <f t="shared" si="28"/>
        <v/>
      </c>
      <c r="AV47" s="129"/>
      <c r="AW47" s="129"/>
      <c r="AX47" s="50">
        <v>0</v>
      </c>
    </row>
    <row r="48" ht="21" customHeight="1">
      <c r="A48" s="493" t="s">
        <v>235</v>
      </c>
      <c r="B48" s="493" t="s">
        <v>236</v>
      </c>
      <c r="C48" s="493" t="s">
        <v>237</v>
      </c>
      <c r="D48" s="493" t="s">
        <v>497</v>
      </c>
      <c r="E48" s="505"/>
      <c r="F48" s="505"/>
      <c r="G48" s="505"/>
      <c r="H48" s="505"/>
      <c r="I48" s="517"/>
      <c r="J48" s="512"/>
      <c r="K48" s="493"/>
      <c r="L48" s="495"/>
      <c r="P48" s="132"/>
      <c r="Q48" s="132"/>
      <c r="R48" s="513"/>
      <c r="S48" s="529"/>
      <c r="T48" s="533" t="s">
        <v>485</v>
      </c>
      <c r="U48" s="214"/>
      <c r="V48" s="214"/>
      <c r="W48" s="214"/>
      <c r="X48" s="214"/>
      <c r="Y48" s="214"/>
      <c r="Z48" s="214"/>
      <c r="AA48" s="214"/>
      <c r="AB48" s="214"/>
      <c r="AC48" s="214"/>
      <c r="AD48" s="214"/>
      <c r="AE48" s="214"/>
      <c r="AF48" s="214"/>
      <c r="AG48" s="214"/>
      <c r="AH48" s="214"/>
      <c r="AI48" s="214"/>
      <c r="AJ48" s="719"/>
      <c r="AK48" s="719"/>
      <c r="AL48" s="719"/>
      <c r="AM48" s="719"/>
      <c r="AN48" s="214"/>
      <c r="AO48" s="719"/>
      <c r="AP48" s="719"/>
      <c r="AQ48" s="214"/>
      <c r="AR48" s="504" t="s">
        <v>486</v>
      </c>
      <c r="AT48" s="129"/>
      <c r="AU48" s="129" t="str">
        <f t="shared" si="28"/>
        <v xml:space="preserve">Добавить значение признака дифференциации</v>
      </c>
      <c r="AV48" s="129"/>
      <c r="AW48" s="129"/>
      <c r="AX48" s="50">
        <v>20</v>
      </c>
    </row>
    <row r="49" ht="22" customHeight="1">
      <c r="A49" s="493" t="s">
        <v>235</v>
      </c>
      <c r="B49" s="493" t="s">
        <v>236</v>
      </c>
      <c r="C49" s="493" t="s">
        <v>237</v>
      </c>
      <c r="D49" s="493" t="s">
        <v>497</v>
      </c>
      <c r="E49" s="505"/>
      <c r="F49" s="505"/>
      <c r="G49" s="505"/>
      <c r="H49" s="505"/>
      <c r="I49" s="512"/>
      <c r="J49" s="493"/>
      <c r="K49" s="493"/>
      <c r="L49" s="495"/>
      <c r="P49" s="132"/>
      <c r="Q49" s="132"/>
      <c r="R49" s="513"/>
      <c r="S49" s="529"/>
      <c r="T49" s="537" t="s">
        <v>414</v>
      </c>
      <c r="U49" s="214"/>
      <c r="V49" s="214"/>
      <c r="W49" s="214"/>
      <c r="X49" s="214"/>
      <c r="Y49" s="214"/>
      <c r="Z49" s="214"/>
      <c r="AA49" s="214"/>
      <c r="AB49" s="534"/>
      <c r="AC49" s="214"/>
      <c r="AD49" s="214"/>
      <c r="AE49" s="214"/>
      <c r="AF49" s="214"/>
      <c r="AG49" s="214"/>
      <c r="AH49" s="214"/>
      <c r="AI49" s="534"/>
      <c r="AJ49" s="719"/>
      <c r="AK49" s="719"/>
      <c r="AL49" s="719"/>
      <c r="AM49" s="719"/>
      <c r="AN49" s="214"/>
      <c r="AO49" s="719"/>
      <c r="AP49" s="720"/>
      <c r="AQ49" s="214"/>
      <c r="AR49" s="699"/>
      <c r="AT49" s="129"/>
      <c r="AU49" s="129" t="str">
        <f t="shared" si="28"/>
        <v xml:space="preserve">Добавить группу потребителей</v>
      </c>
      <c r="AV49" s="129"/>
      <c r="AW49" s="129"/>
      <c r="AX49" s="50">
        <v>21</v>
      </c>
    </row>
    <row r="50" ht="22" customHeight="1">
      <c r="A50" s="493" t="s">
        <v>235</v>
      </c>
      <c r="B50" s="493" t="s">
        <v>236</v>
      </c>
      <c r="C50" s="493" t="s">
        <v>237</v>
      </c>
      <c r="D50" s="493" t="s">
        <v>497</v>
      </c>
      <c r="E50" s="505"/>
      <c r="F50" s="505"/>
      <c r="G50" s="505"/>
      <c r="H50" s="494"/>
      <c r="I50" s="493"/>
      <c r="J50" s="493"/>
      <c r="K50" s="493"/>
      <c r="L50" s="495"/>
      <c r="M50" s="496"/>
      <c r="N50" s="496"/>
      <c r="O50" s="53"/>
      <c r="P50" s="143"/>
      <c r="Q50" s="536"/>
      <c r="R50" s="497"/>
      <c r="S50" s="529"/>
      <c r="T50" s="700" t="s">
        <v>487</v>
      </c>
      <c r="U50" s="214"/>
      <c r="V50" s="214"/>
      <c r="W50" s="214"/>
      <c r="X50" s="214"/>
      <c r="Y50" s="214"/>
      <c r="Z50" s="214"/>
      <c r="AA50" s="214"/>
      <c r="AB50" s="534"/>
      <c r="AC50" s="214"/>
      <c r="AD50" s="214"/>
      <c r="AE50" s="214"/>
      <c r="AF50" s="214"/>
      <c r="AG50" s="214"/>
      <c r="AH50" s="214"/>
      <c r="AI50" s="534"/>
      <c r="AJ50" s="719"/>
      <c r="AK50" s="719"/>
      <c r="AL50" s="719"/>
      <c r="AM50" s="719"/>
      <c r="AN50" s="214"/>
      <c r="AO50" s="719"/>
      <c r="AP50" s="720"/>
      <c r="AQ50" s="214"/>
      <c r="AR50" s="535"/>
      <c r="AT50" s="129"/>
      <c r="AU50" s="129" t="str">
        <f t="shared" si="28"/>
        <v xml:space="preserve">Добавить наименование признака дифференциации</v>
      </c>
      <c r="AV50" s="129"/>
      <c r="AW50" s="129"/>
      <c r="AX50" s="50">
        <v>21</v>
      </c>
    </row>
    <row r="51" s="57" customFormat="1" ht="0" customHeight="1">
      <c r="A51" s="133" t="s">
        <v>235</v>
      </c>
      <c r="B51" s="133" t="s">
        <v>236</v>
      </c>
      <c r="C51" s="133"/>
      <c r="D51" s="133"/>
      <c r="E51" s="505"/>
      <c r="F51" s="494"/>
      <c r="G51" s="133"/>
      <c r="H51" s="133"/>
      <c r="I51" s="133"/>
      <c r="J51" s="133"/>
      <c r="K51" s="133"/>
      <c r="L51" s="212"/>
      <c r="M51" s="542"/>
      <c r="N51" s="542"/>
      <c r="P51" s="167"/>
      <c r="Q51" s="538"/>
      <c r="R51" s="167"/>
      <c r="S51" s="543"/>
      <c r="T51" s="546" t="s">
        <v>238</v>
      </c>
      <c r="U51" s="545"/>
      <c r="V51" s="545"/>
      <c r="W51" s="545"/>
      <c r="X51" s="545"/>
      <c r="Y51" s="545"/>
      <c r="Z51" s="545"/>
      <c r="AA51" s="545"/>
      <c r="AB51" s="545"/>
      <c r="AC51" s="545"/>
      <c r="AD51" s="545"/>
      <c r="AE51" s="545"/>
      <c r="AF51" s="545"/>
      <c r="AG51" s="545"/>
      <c r="AH51" s="545"/>
      <c r="AI51" s="545"/>
      <c r="AJ51" s="721"/>
      <c r="AK51" s="721"/>
      <c r="AL51" s="721"/>
      <c r="AM51" s="721"/>
      <c r="AN51" s="545"/>
      <c r="AO51" s="721"/>
      <c r="AP51" s="721"/>
      <c r="AQ51" s="545"/>
      <c r="AR51" s="545"/>
      <c r="AT51" s="129"/>
      <c r="AU51" s="129" t="str">
        <f t="shared" si="28"/>
        <v xml:space="preserve">Добавить централизованную систему для дифференциации</v>
      </c>
      <c r="AV51" s="129"/>
      <c r="AW51" s="129"/>
      <c r="AX51" s="57">
        <v>0</v>
      </c>
    </row>
    <row r="52" s="57" customFormat="1" ht="0" customHeight="1">
      <c r="A52" s="133" t="s">
        <v>235</v>
      </c>
      <c r="B52" s="133"/>
      <c r="C52" s="133"/>
      <c r="D52" s="133"/>
      <c r="E52" s="494"/>
      <c r="F52" s="133"/>
      <c r="G52" s="133"/>
      <c r="H52" s="133"/>
      <c r="I52" s="133"/>
      <c r="J52" s="133"/>
      <c r="K52" s="133"/>
      <c r="L52" s="212"/>
      <c r="M52" s="542"/>
      <c r="N52" s="542"/>
      <c r="O52" s="57"/>
      <c r="P52" s="167"/>
      <c r="Q52" s="538"/>
      <c r="R52" s="167"/>
      <c r="S52" s="543"/>
      <c r="T52" s="546" t="s">
        <v>239</v>
      </c>
      <c r="U52" s="545"/>
      <c r="V52" s="545"/>
      <c r="W52" s="545"/>
      <c r="X52" s="545"/>
      <c r="Y52" s="545"/>
      <c r="Z52" s="545"/>
      <c r="AA52" s="545"/>
      <c r="AB52" s="545"/>
      <c r="AC52" s="545"/>
      <c r="AD52" s="545"/>
      <c r="AE52" s="545"/>
      <c r="AF52" s="545"/>
      <c r="AG52" s="545"/>
      <c r="AH52" s="545"/>
      <c r="AI52" s="545"/>
      <c r="AJ52" s="721"/>
      <c r="AK52" s="721"/>
      <c r="AL52" s="721"/>
      <c r="AM52" s="721"/>
      <c r="AN52" s="545"/>
      <c r="AO52" s="721"/>
      <c r="AP52" s="721"/>
      <c r="AQ52" s="545"/>
      <c r="AR52" s="545"/>
      <c r="AT52" s="129"/>
      <c r="AU52" s="129" t="str">
        <f t="shared" si="28"/>
        <v xml:space="preserve">Добавить территорию для дифференциации</v>
      </c>
      <c r="AV52" s="129"/>
      <c r="AW52" s="129"/>
      <c r="AX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240</v>
      </c>
      <c r="U53" s="545"/>
      <c r="V53" s="545"/>
      <c r="W53" s="545"/>
      <c r="X53" s="545"/>
      <c r="Y53" s="545"/>
      <c r="Z53" s="545"/>
      <c r="AA53" s="545"/>
      <c r="AB53" s="545"/>
      <c r="AC53" s="545"/>
      <c r="AD53" s="545"/>
      <c r="AE53" s="545"/>
      <c r="AF53" s="545"/>
      <c r="AG53" s="545"/>
      <c r="AH53" s="545"/>
      <c r="AI53" s="545"/>
      <c r="AJ53" s="721"/>
      <c r="AK53" s="721"/>
      <c r="AL53" s="721"/>
      <c r="AM53" s="721"/>
      <c r="AN53" s="545"/>
      <c r="AO53" s="721"/>
      <c r="AP53" s="721"/>
      <c r="AQ53" s="545"/>
      <c r="AR53" s="545"/>
      <c r="AT53" s="129"/>
      <c r="AU53" s="129" t="str">
        <f t="shared" si="28"/>
        <v xml:space="preserve">Добавить наименование тарифа</v>
      </c>
      <c r="AV53" s="129"/>
      <c r="AW53" s="129"/>
      <c r="AX53" s="57">
        <v>0</v>
      </c>
    </row>
    <row r="54" ht="11.5" customHeight="1">
      <c r="M54" s="53"/>
      <c r="N54" s="53"/>
      <c r="O54" s="53"/>
      <c r="P54" s="50"/>
      <c r="Q54" s="50"/>
      <c r="R54" s="50"/>
      <c r="S54" s="50"/>
      <c r="AJ54" s="702"/>
      <c r="AK54" s="702"/>
      <c r="AL54" s="702"/>
      <c r="AM54" s="702"/>
      <c r="AN54" s="50"/>
      <c r="AO54" s="702"/>
      <c r="AP54" s="702"/>
      <c r="AS54" s="50"/>
      <c r="AT54" s="50"/>
      <c r="AU54" s="50"/>
      <c r="AV54" s="50"/>
      <c r="AW54" s="50"/>
      <c r="AX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745"/>
      <c r="AK55" s="745"/>
      <c r="AL55" s="745"/>
      <c r="AM55" s="745"/>
      <c r="AN55" s="588"/>
      <c r="AO55" s="745"/>
      <c r="AP55" s="745"/>
      <c r="AQ55" s="588"/>
      <c r="AR55" s="588"/>
      <c r="AX55" s="50">
        <v>14</v>
      </c>
    </row>
    <row r="56" ht="14.65" customHeight="1">
      <c r="O56" s="53"/>
      <c r="AJ56" s="702"/>
      <c r="AK56" s="702"/>
      <c r="AL56" s="702"/>
      <c r="AM56" s="702"/>
      <c r="AN56" s="50"/>
      <c r="AO56" s="702"/>
      <c r="AP56" s="702"/>
      <c r="AX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745"/>
      <c r="AK57" s="745"/>
      <c r="AL57" s="745"/>
      <c r="AM57" s="745"/>
      <c r="AN57" s="588"/>
      <c r="AO57" s="745"/>
      <c r="AP57" s="745"/>
      <c r="AQ57" s="588"/>
      <c r="AR57" s="588"/>
      <c r="AX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702">
        <v>0</v>
      </c>
      <c r="AK58" s="702">
        <v>0</v>
      </c>
      <c r="AL58" s="702">
        <v>0</v>
      </c>
      <c r="AM58" s="702">
        <v>0</v>
      </c>
      <c r="AN58" s="50">
        <v>0</v>
      </c>
      <c r="AO58" s="702">
        <v>0</v>
      </c>
      <c r="AP58" s="702">
        <v>0</v>
      </c>
      <c r="AQ58" s="50">
        <v>4</v>
      </c>
      <c r="AR58" s="50">
        <v>115</v>
      </c>
      <c r="AS58" s="57">
        <v>10</v>
      </c>
      <c r="AT58" s="57">
        <v>10</v>
      </c>
      <c r="AU58" s="57">
        <v>10</v>
      </c>
      <c r="AV58" s="57">
        <v>10</v>
      </c>
      <c r="AW58" s="57">
        <v>10</v>
      </c>
      <c r="AX58" s="50">
        <v>23</v>
      </c>
    </row>
  </sheetData>
  <sheetProtection autoFilter="0" deleteColumns="0" deleteRows="0" formatCells="1" formatColumns="0" formatRows="0" insertColumns="1" insertHyperlinks="1" insertRows="0" pivotTables="1" selectLockedCells="0" selectUnlockedCells="0" sheet="0" sort="0"/>
  <mergeCells count="122">
    <mergeCell ref="AR46:AR47"/>
    <mergeCell ref="T55:AR55"/>
    <mergeCell ref="T57:AR57"/>
    <mergeCell ref="K46:K47"/>
    <mergeCell ref="Y46:Y47"/>
    <mergeCell ref="Z46:Z47"/>
    <mergeCell ref="AA46:AA47"/>
    <mergeCell ref="AB46:AB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R131122 S196652:AR196658 S262188:AR262194 S327724:AR327730 S393260:AR393266 S458796:AR458802 S524332:AR524338 S589868:AR589874 S655404:AR655410 S720940:AR720946 S786476:AR786482 S852012:AR852018 S917548:AR917554 S983084:AR983090 S65580:AR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D003A-005B-472B-830F-0067009C005E}"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80002D-000E-421A-93A4-00D8007C004A}" type="textLength" allowBlank="1" error="Допускается ввод не более 900 символов!" errorStyle="stop" errorTitle="Ошибка" imeMode="noControl" operator="lessThanOrEqual" showDropDown="0" showErrorMessage="1" showInputMessage="1">
          <x14:formula1>
            <xm:f>900</xm:f>
          </x14:formula1>
          <xm: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xm:sqref>
        </x14:dataValidation>
        <x14:dataValidation xr:uid="{005800FD-00A5-4746-AE24-00AD006A00F9}"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450029-0000-47E7-BA7D-00D400B400A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V983081:AQ983081 V65577:AQ65577 V131113:AQ131113 V196649:AQ196649 V262185:AQ262185 V327721:AQ327721 V393257:AQ393257 V458793:AQ458793 V524329:AQ524329 V589865:AQ589865 V655401:AQ655401 V720937:AQ720937 V786473:AQ786473 V852009:AQ852009 V917545:AQ917545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3"/>
      <c r="AK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9">IF(T2="","",T2)</f>
        <v xml:space="preserve">Наименование тарифа</v>
      </c>
      <c r="AO2" s="129"/>
      <c r="AP2" s="129"/>
      <c r="AQ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3"/>
      <c r="AC3" s="501" t="e">
        <f>INDEX(PT_DIFFERENTIATION_TER,MATCH(B3,PT_DIFFERENTIATION_TER_ID,0))</f>
        <v>#VALUE!</v>
      </c>
      <c r="AD3" s="502"/>
      <c r="AE3" s="502"/>
      <c r="AF3" s="502"/>
      <c r="AG3" s="502"/>
      <c r="AH3" s="502"/>
      <c r="AI3" s="502"/>
      <c r="AJ3" s="503"/>
      <c r="AK3" s="504" t="s">
        <v>400</v>
      </c>
      <c r="AM3" s="129"/>
      <c r="AN3" s="129" t="str">
        <f t="shared" si="29"/>
        <v xml:space="preserve">Территория действия тарифа</v>
      </c>
      <c r="AO3" s="129"/>
      <c r="AP3" s="129"/>
      <c r="AQ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480</v>
      </c>
      <c r="U4" s="500"/>
      <c r="V4" s="501"/>
      <c r="W4" s="502"/>
      <c r="X4" s="502"/>
      <c r="Y4" s="502"/>
      <c r="Z4" s="502"/>
      <c r="AA4" s="502"/>
      <c r="AB4" s="503"/>
      <c r="AC4" s="501" t="e">
        <f>INDEX(PT_DIFFERENTIATION_CS,MATCH(C4,PT_DIFFERENTIATION_CS_ID,0))</f>
        <v>#VALUE!</v>
      </c>
      <c r="AD4" s="502"/>
      <c r="AE4" s="502"/>
      <c r="AF4" s="502"/>
      <c r="AG4" s="502"/>
      <c r="AH4" s="502"/>
      <c r="AI4" s="502"/>
      <c r="AJ4" s="503"/>
      <c r="AK4" s="504" t="s">
        <v>481</v>
      </c>
      <c r="AM4" s="129"/>
      <c r="AN4" s="129" t="str">
        <f t="shared" si="29"/>
        <v xml:space="preserve">Наименование централизованной системы холодного водоснабжения</v>
      </c>
      <c r="AO4" s="129"/>
      <c r="AP4" s="129"/>
      <c r="AQ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482</v>
      </c>
      <c r="U5" s="500"/>
      <c r="V5" s="689"/>
      <c r="W5" s="690"/>
      <c r="X5" s="690"/>
      <c r="Y5" s="690"/>
      <c r="Z5" s="690"/>
      <c r="AA5" s="690"/>
      <c r="AB5" s="691"/>
      <c r="AC5" s="692"/>
      <c r="AD5" s="693"/>
      <c r="AE5" s="693"/>
      <c r="AF5" s="693"/>
      <c r="AG5" s="693"/>
      <c r="AH5" s="693"/>
      <c r="AI5" s="693"/>
      <c r="AJ5" s="694"/>
      <c r="AK5" s="504" t="s">
        <v>483</v>
      </c>
      <c r="AM5" s="129"/>
      <c r="AN5" s="129" t="str">
        <f t="shared" si="29"/>
        <v xml:space="preserve">Наименование признака дифференциации</v>
      </c>
      <c r="AO5" s="129"/>
      <c r="AP5" s="129"/>
      <c r="AQ5" s="50">
        <v>0</v>
      </c>
    </row>
    <row r="6" ht="23.25" hidden="1" customHeight="1">
      <c r="A6" s="493"/>
      <c r="B6" s="493"/>
      <c r="C6" s="493"/>
      <c r="D6" s="493"/>
      <c r="E6" s="505"/>
      <c r="F6" s="505"/>
      <c r="G6" s="505"/>
      <c r="H6" s="505"/>
      <c r="I6" s="517"/>
      <c r="J6" s="512" t="e">
        <f>I5&amp;".1"</f>
        <v>#VALUE!</v>
      </c>
      <c r="K6" s="493"/>
      <c r="L6" s="495" t="s">
        <v>408</v>
      </c>
      <c r="P6" s="132"/>
      <c r="Q6" s="132">
        <v>1</v>
      </c>
      <c r="R6" s="518"/>
      <c r="S6" s="498" t="e">
        <f>$J6</f>
        <v>#VALUE!</v>
      </c>
      <c r="T6" s="519" t="s">
        <v>409</v>
      </c>
      <c r="U6" s="500"/>
      <c r="V6" s="445"/>
      <c r="W6" s="515"/>
      <c r="X6" s="515"/>
      <c r="Y6" s="515"/>
      <c r="Z6" s="515"/>
      <c r="AA6" s="515"/>
      <c r="AB6" s="516"/>
      <c r="AC6" s="445"/>
      <c r="AD6" s="515"/>
      <c r="AE6" s="515"/>
      <c r="AF6" s="515"/>
      <c r="AG6" s="515"/>
      <c r="AH6" s="515"/>
      <c r="AI6" s="515"/>
      <c r="AJ6" s="516"/>
      <c r="AK6" s="631" t="s">
        <v>484</v>
      </c>
      <c r="AM6" s="129"/>
      <c r="AN6" s="129" t="str">
        <f t="shared" si="29"/>
        <v xml:space="preserve">Группа потребителей</v>
      </c>
      <c r="AO6" s="129"/>
      <c r="AP6" s="129"/>
      <c r="AQ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696"/>
      <c r="AK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9"/>
        <v/>
      </c>
      <c r="AO7" s="129"/>
      <c r="AP7" s="129"/>
      <c r="AQ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698"/>
      <c r="AK8" s="697"/>
      <c r="AM8" s="129"/>
      <c r="AN8" s="129" t="str">
        <f t="shared" si="29"/>
        <v/>
      </c>
      <c r="AO8" s="129"/>
      <c r="AP8" s="129"/>
      <c r="AQ8" s="50">
        <v>0</v>
      </c>
    </row>
    <row r="9" ht="21" hidden="1" customHeight="1">
      <c r="A9" s="493"/>
      <c r="B9" s="493"/>
      <c r="C9" s="493"/>
      <c r="D9" s="493"/>
      <c r="E9" s="505"/>
      <c r="F9" s="505"/>
      <c r="G9" s="505"/>
      <c r="H9" s="505"/>
      <c r="I9" s="517"/>
      <c r="J9" s="512"/>
      <c r="K9" s="493"/>
      <c r="L9" s="495"/>
      <c r="P9" s="132"/>
      <c r="Q9" s="132"/>
      <c r="R9" s="513"/>
      <c r="S9" s="529"/>
      <c r="T9" s="533" t="s">
        <v>485</v>
      </c>
      <c r="U9" s="214"/>
      <c r="V9" s="214"/>
      <c r="W9" s="214"/>
      <c r="X9" s="214"/>
      <c r="Y9" s="214"/>
      <c r="Z9" s="214"/>
      <c r="AA9" s="214"/>
      <c r="AB9" s="214"/>
      <c r="AC9" s="214"/>
      <c r="AD9" s="214"/>
      <c r="AE9" s="214"/>
      <c r="AF9" s="214"/>
      <c r="AG9" s="214"/>
      <c r="AH9" s="214"/>
      <c r="AI9" s="214"/>
      <c r="AJ9" s="214"/>
      <c r="AK9" s="504" t="s">
        <v>486</v>
      </c>
      <c r="AM9" s="129"/>
      <c r="AN9" s="129" t="str">
        <f t="shared" si="29"/>
        <v xml:space="preserve">Добавить значение признака дифференциации</v>
      </c>
      <c r="AO9" s="129"/>
      <c r="AP9" s="129"/>
      <c r="AQ9" s="50">
        <v>0</v>
      </c>
    </row>
    <row r="10" ht="21" hidden="1" customHeight="1">
      <c r="A10" s="493"/>
      <c r="B10" s="493"/>
      <c r="C10" s="493"/>
      <c r="D10" s="493"/>
      <c r="E10" s="505"/>
      <c r="F10" s="505"/>
      <c r="G10" s="505"/>
      <c r="H10" s="505"/>
      <c r="I10" s="512"/>
      <c r="J10" s="493"/>
      <c r="K10" s="493"/>
      <c r="L10" s="495"/>
      <c r="P10" s="132"/>
      <c r="Q10" s="132"/>
      <c r="R10" s="513"/>
      <c r="S10" s="529"/>
      <c r="T10" s="537" t="s">
        <v>414</v>
      </c>
      <c r="U10" s="214"/>
      <c r="V10" s="214"/>
      <c r="W10" s="214"/>
      <c r="X10" s="214"/>
      <c r="Y10" s="214"/>
      <c r="Z10" s="214"/>
      <c r="AA10" s="214"/>
      <c r="AB10" s="534"/>
      <c r="AC10" s="214"/>
      <c r="AD10" s="214"/>
      <c r="AE10" s="214"/>
      <c r="AF10" s="214"/>
      <c r="AG10" s="214"/>
      <c r="AH10" s="214"/>
      <c r="AI10" s="534"/>
      <c r="AJ10" s="214"/>
      <c r="AK10" s="699"/>
      <c r="AM10" s="129"/>
      <c r="AN10" s="129" t="str">
        <f t="shared" ref="AN10:AN53" si="30">IF(T10="","",T10)</f>
        <v xml:space="preserve">Добавить группу потребителей</v>
      </c>
      <c r="AO10" s="129"/>
      <c r="AP10" s="129"/>
      <c r="AQ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487</v>
      </c>
      <c r="U11" s="214"/>
      <c r="V11" s="214"/>
      <c r="W11" s="214"/>
      <c r="X11" s="214"/>
      <c r="Y11" s="214"/>
      <c r="Z11" s="214"/>
      <c r="AA11" s="214"/>
      <c r="AB11" s="534"/>
      <c r="AC11" s="214"/>
      <c r="AD11" s="214"/>
      <c r="AE11" s="214"/>
      <c r="AF11" s="214"/>
      <c r="AG11" s="214"/>
      <c r="AH11" s="214"/>
      <c r="AI11" s="534"/>
      <c r="AJ11" s="214"/>
      <c r="AK11" s="535"/>
      <c r="AM11" s="129"/>
      <c r="AN11" s="129" t="str">
        <f t="shared" si="30"/>
        <v xml:space="preserve">Добавить наименование признака дифференциации</v>
      </c>
      <c r="AO11" s="129"/>
      <c r="AP11" s="129"/>
      <c r="AQ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238</v>
      </c>
      <c r="U12" s="545"/>
      <c r="V12" s="545"/>
      <c r="W12" s="545"/>
      <c r="X12" s="545"/>
      <c r="Y12" s="545"/>
      <c r="Z12" s="545"/>
      <c r="AA12" s="545"/>
      <c r="AB12" s="545"/>
      <c r="AC12" s="545"/>
      <c r="AD12" s="545"/>
      <c r="AE12" s="545"/>
      <c r="AF12" s="545"/>
      <c r="AG12" s="545"/>
      <c r="AH12" s="545"/>
      <c r="AI12" s="545"/>
      <c r="AJ12" s="545"/>
      <c r="AK12" s="545"/>
      <c r="AM12" s="129"/>
      <c r="AN12" s="129" t="str">
        <f t="shared" si="30"/>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239</v>
      </c>
      <c r="U13" s="545"/>
      <c r="V13" s="545"/>
      <c r="W13" s="545"/>
      <c r="X13" s="545"/>
      <c r="Y13" s="545"/>
      <c r="Z13" s="545"/>
      <c r="AA13" s="545"/>
      <c r="AB13" s="545"/>
      <c r="AC13" s="545"/>
      <c r="AD13" s="545"/>
      <c r="AE13" s="545"/>
      <c r="AF13" s="545"/>
      <c r="AG13" s="545"/>
      <c r="AH13" s="545"/>
      <c r="AI13" s="545"/>
      <c r="AJ13" s="545"/>
      <c r="AK13" s="545"/>
      <c r="AM13" s="129"/>
      <c r="AN13" s="129" t="str">
        <f t="shared" si="30"/>
        <v xml:space="preserve">Добавить территорию для дифференциации</v>
      </c>
      <c r="AO13" s="129"/>
      <c r="AP13" s="129"/>
      <c r="AQ13" s="57">
        <v>0</v>
      </c>
    </row>
    <row r="14" ht="14.25" hidden="1" customHeight="1">
      <c r="AB14" s="50"/>
      <c r="AI14" s="50"/>
      <c r="AQ14" s="50">
        <v>0</v>
      </c>
    </row>
    <row r="15" ht="14.25" hidden="1" customHeight="1">
      <c r="AC15" s="547"/>
      <c r="AD15" s="547"/>
      <c r="AE15" s="548"/>
      <c r="AF15" s="549"/>
      <c r="AG15" s="550" t="s">
        <v>66</v>
      </c>
      <c r="AH15" s="549"/>
      <c r="AI15" s="550" t="s">
        <v>66</v>
      </c>
      <c r="AQ15" s="50">
        <v>0</v>
      </c>
    </row>
    <row r="16" ht="14.25" hidden="1" customHeight="1">
      <c r="AC16" s="547"/>
      <c r="AD16" s="547"/>
      <c r="AE16" s="526" t="str">
        <f>AF15&amp;"-"&amp;AH15</f>
        <v>-</v>
      </c>
      <c r="AF16" s="550"/>
      <c r="AG16" s="550"/>
      <c r="AH16" s="550"/>
      <c r="AI16" s="550"/>
      <c r="AQ16" s="50">
        <v>0</v>
      </c>
    </row>
    <row r="17" ht="14.25" hidden="1" customHeight="1">
      <c r="AI17" s="50"/>
      <c r="AQ17" s="50">
        <v>0</v>
      </c>
    </row>
    <row r="18" s="53" customFormat="1" ht="22.5" hidden="1" customHeight="1">
      <c r="L18" s="113"/>
      <c r="M18" s="61"/>
      <c r="N18" s="61"/>
      <c r="O18" s="551" t="s">
        <v>417</v>
      </c>
      <c r="P18" s="61"/>
      <c r="Q18" s="552"/>
      <c r="R18" s="552"/>
      <c r="S18" s="496"/>
      <c r="Y18" s="551"/>
      <c r="AA18" s="551"/>
      <c r="AB18" s="53"/>
      <c r="AF18" s="551"/>
      <c r="AH18" s="551"/>
      <c r="AI18" s="53"/>
      <c r="AL18" s="57"/>
      <c r="AM18" s="57"/>
      <c r="AN18" s="57"/>
      <c r="AO18" s="57"/>
      <c r="AP18" s="57"/>
      <c r="AQ18" s="53">
        <v>0</v>
      </c>
    </row>
    <row r="19" s="53" customFormat="1" ht="14.25" hidden="1" customHeight="1">
      <c r="L19" s="113"/>
      <c r="M19" s="61"/>
      <c r="N19" s="61"/>
      <c r="O19" s="61"/>
      <c r="P19" s="61"/>
      <c r="Q19" s="552"/>
      <c r="R19" s="552"/>
      <c r="S19" s="496"/>
      <c r="AB19" s="53"/>
      <c r="AI19" s="53"/>
      <c r="AL19" s="57"/>
      <c r="AM19" s="57"/>
      <c r="AN19" s="57"/>
      <c r="AO19" s="57"/>
      <c r="AP19" s="57"/>
      <c r="AQ19" s="53">
        <v>0</v>
      </c>
    </row>
    <row r="20" s="53" customFormat="1" ht="12" hidden="1" customHeight="1">
      <c r="L20" s="113"/>
      <c r="M20" s="61"/>
      <c r="N20" s="61"/>
      <c r="O20" s="495" t="s">
        <v>418</v>
      </c>
      <c r="P20" s="61"/>
      <c r="Q20" s="701"/>
      <c r="R20" s="701"/>
      <c r="S20" s="496"/>
      <c r="T20" s="53" t="s">
        <v>419</v>
      </c>
      <c r="Z20" s="151" t="s">
        <v>420</v>
      </c>
      <c r="AB20" s="151" t="s">
        <v>421</v>
      </c>
      <c r="AC20" s="53" t="s">
        <v>419</v>
      </c>
      <c r="AG20" s="151" t="s">
        <v>422</v>
      </c>
      <c r="AI20" s="151" t="s">
        <v>421</v>
      </c>
      <c r="AQ20" s="53">
        <v>0</v>
      </c>
    </row>
    <row r="21" ht="14.25" hidden="1" customHeight="1">
      <c r="O21" s="495"/>
      <c r="AQ21" s="50">
        <v>0</v>
      </c>
    </row>
    <row r="22" ht="14.25" hidden="1" customHeight="1">
      <c r="O22" s="495"/>
      <c r="AQ22" s="50">
        <v>0</v>
      </c>
    </row>
    <row r="23" ht="14.65" customHeight="1">
      <c r="Q23" s="553"/>
      <c r="R23" s="553"/>
      <c r="S23" s="554"/>
      <c r="T23" s="91"/>
      <c r="U23" s="91"/>
      <c r="V23" s="50"/>
      <c r="W23" s="50"/>
      <c r="X23" s="50"/>
      <c r="Y23" s="50"/>
      <c r="Z23" s="50"/>
      <c r="AA23" s="50"/>
      <c r="AB23" s="50"/>
      <c r="AC23" s="50"/>
      <c r="AD23" s="50"/>
      <c r="AE23" s="50"/>
      <c r="AF23" s="50"/>
      <c r="AG23" s="50"/>
      <c r="AH23" s="50"/>
      <c r="AI23" s="50"/>
      <c r="AQ23" s="50">
        <v>14</v>
      </c>
    </row>
    <row r="24" ht="14.65" customHeight="1">
      <c r="Q24" s="553"/>
      <c r="R24" s="553"/>
      <c r="S24" s="466"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6"/>
      <c r="U24" s="466"/>
      <c r="V24" s="466"/>
      <c r="W24" s="466"/>
      <c r="X24" s="466"/>
      <c r="Y24" s="466"/>
      <c r="Z24" s="466"/>
      <c r="AA24" s="466"/>
      <c r="AB24" s="466"/>
      <c r="AC24" s="466"/>
      <c r="AD24" s="466"/>
      <c r="AE24" s="466"/>
      <c r="AF24" s="466"/>
      <c r="AG24" s="466"/>
      <c r="AH24" s="466"/>
      <c r="AI24" s="240"/>
      <c r="AQ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0"/>
      <c r="AK27" s="559"/>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95"/>
      <c r="M28" s="151"/>
      <c r="N28" s="151"/>
      <c r="O28" s="151"/>
      <c r="S28" s="556" t="s">
        <v>423</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0"/>
      <c r="AK28" s="559"/>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95"/>
      <c r="M29" s="151"/>
      <c r="N29" s="151"/>
      <c r="O29" s="151"/>
      <c r="S29" s="556" t="s">
        <v>424</v>
      </c>
      <c r="T29" s="556"/>
      <c r="U29" s="557"/>
      <c r="V29" s="558" t="str">
        <f>IF(TITLE_NUMBER_PR_CHANGE="",IF(TITLE_NUMBER_PR="","",TITLE_NUMBER_PR),TITLE_NUMBER_PR_CHANGE)</f>
        <v>ПГ/01/950</v>
      </c>
      <c r="W29" s="558"/>
      <c r="X29" s="558"/>
      <c r="Y29" s="558"/>
      <c r="Z29" s="558"/>
      <c r="AA29" s="558"/>
      <c r="AB29" s="50"/>
      <c r="AC29" s="558" t="str">
        <f>IF(TITLE_NUMBER_PR_CHANGE="",IF(TITLE_NUMBER_PR="","",TITLE_NUMBER_PR),TITLE_NUMBER_PR_CHANGE)</f>
        <v>ПГ/01/950</v>
      </c>
      <c r="AD29" s="558"/>
      <c r="AE29" s="558"/>
      <c r="AF29" s="558"/>
      <c r="AG29" s="558"/>
      <c r="AH29" s="558"/>
      <c r="AI29" s="50"/>
      <c r="AJ29" s="50"/>
      <c r="AK29" s="559"/>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0"/>
      <c r="AK30" s="559"/>
      <c r="AL30" s="129"/>
      <c r="AM30" s="129"/>
      <c r="AN30" s="129"/>
      <c r="AO30" s="129"/>
      <c r="AP30" s="129"/>
      <c r="AQ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customHeight="1">
      <c r="A32" s="151"/>
      <c r="B32" s="151"/>
      <c r="C32" s="151"/>
      <c r="D32" s="151"/>
      <c r="E32" s="151"/>
      <c r="F32" s="151"/>
      <c r="G32" s="151"/>
      <c r="H32" s="151"/>
      <c r="I32" s="151"/>
      <c r="J32" s="151"/>
      <c r="K32" s="151"/>
      <c r="L32" s="495"/>
      <c r="M32" s="151"/>
      <c r="N32" s="151"/>
      <c r="O32" s="151"/>
      <c r="S32" s="556" t="s">
        <v>425</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0"/>
      <c r="AK32" s="559"/>
      <c r="AL32" s="129"/>
      <c r="AM32" s="129"/>
      <c r="AN32" s="129"/>
      <c r="AO32" s="129"/>
      <c r="AP32" s="129"/>
      <c r="AQ32" s="184">
        <v>0</v>
      </c>
    </row>
    <row r="33" s="184" customFormat="1" ht="18.75" customHeight="1">
      <c r="A33" s="151"/>
      <c r="B33" s="151"/>
      <c r="C33" s="151"/>
      <c r="D33" s="151"/>
      <c r="E33" s="151"/>
      <c r="F33" s="151"/>
      <c r="G33" s="151"/>
      <c r="H33" s="151"/>
      <c r="I33" s="151"/>
      <c r="J33" s="151"/>
      <c r="K33" s="151"/>
      <c r="L33" s="495"/>
      <c r="M33" s="151"/>
      <c r="N33" s="151"/>
      <c r="O33" s="151"/>
      <c r="S33" s="556" t="s">
        <v>426</v>
      </c>
      <c r="T33" s="556"/>
      <c r="U33" s="557"/>
      <c r="V33" s="558" t="str">
        <f>IF(TITLE_NUMBER_PR_CHANGE="",IF(TITLE_NUMBER_PR="","",TITLE_NUMBER_PR),TITLE_NUMBER_PR_CHANGE)</f>
        <v>ПГ/01/950</v>
      </c>
      <c r="W33" s="558"/>
      <c r="X33" s="558"/>
      <c r="Y33" s="558"/>
      <c r="Z33" s="558"/>
      <c r="AA33" s="558"/>
      <c r="AB33" s="50"/>
      <c r="AC33" s="558" t="str">
        <f>IF(TITLE_NUMBER_PR_CHANGE="",IF(TITLE_NUMBER_PR="","",TITLE_NUMBER_PR),TITLE_NUMBER_PR_CHANGE)</f>
        <v>ПГ/01/950</v>
      </c>
      <c r="AD33" s="558"/>
      <c r="AE33" s="558"/>
      <c r="AF33" s="558"/>
      <c r="AG33" s="558"/>
      <c r="AH33" s="558"/>
      <c r="AI33" s="50"/>
      <c r="AJ33" s="50"/>
      <c r="AK33" s="559"/>
      <c r="AL33" s="129"/>
      <c r="AM33" s="129"/>
      <c r="AN33" s="129"/>
      <c r="AO33" s="129"/>
      <c r="AP33" s="129"/>
      <c r="AQ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427</v>
      </c>
      <c r="AC34" s="50"/>
      <c r="AD34" s="50"/>
      <c r="AE34" s="50"/>
      <c r="AF34" s="50"/>
      <c r="AG34" s="50"/>
      <c r="AH34" s="50"/>
      <c r="AI34" s="57" t="s">
        <v>427</v>
      </c>
      <c r="AL34" s="129"/>
      <c r="AM34" s="129"/>
      <c r="AN34" s="129"/>
      <c r="AO34" s="129"/>
      <c r="AP34" s="129"/>
      <c r="AQ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553"/>
      <c r="R36" s="553"/>
      <c r="S36" s="157" t="s">
        <v>302</v>
      </c>
      <c r="T36" s="157"/>
      <c r="U36" s="157"/>
      <c r="V36" s="157"/>
      <c r="W36" s="157"/>
      <c r="X36" s="157"/>
      <c r="Y36" s="157"/>
      <c r="Z36" s="157"/>
      <c r="AA36" s="157"/>
      <c r="AB36" s="157"/>
      <c r="AC36" s="157"/>
      <c r="AD36" s="157"/>
      <c r="AE36" s="157"/>
      <c r="AF36" s="157"/>
      <c r="AG36" s="157"/>
      <c r="AH36" s="157"/>
      <c r="AI36" s="157"/>
      <c r="AJ36" s="157"/>
      <c r="AK36" s="157" t="s">
        <v>303</v>
      </c>
      <c r="AQ36" s="50">
        <v>14</v>
      </c>
    </row>
    <row r="37" ht="14.65" customHeight="1">
      <c r="Q37" s="553"/>
      <c r="R37" s="553"/>
      <c r="S37" s="498" t="s">
        <v>88</v>
      </c>
      <c r="T37" s="362" t="s">
        <v>428</v>
      </c>
      <c r="U37" s="563"/>
      <c r="V37" s="564" t="s">
        <v>429</v>
      </c>
      <c r="W37" s="565"/>
      <c r="X37" s="565"/>
      <c r="Y37" s="565"/>
      <c r="Z37" s="565"/>
      <c r="AA37" s="566"/>
      <c r="AB37" s="567" t="s">
        <v>430</v>
      </c>
      <c r="AC37" s="564" t="s">
        <v>429</v>
      </c>
      <c r="AD37" s="565"/>
      <c r="AE37" s="565"/>
      <c r="AF37" s="565"/>
      <c r="AG37" s="565"/>
      <c r="AH37" s="566"/>
      <c r="AI37" s="567" t="s">
        <v>431</v>
      </c>
      <c r="AJ37" s="568" t="s">
        <v>432</v>
      </c>
      <c r="AK37" s="157"/>
      <c r="AQ37" s="50">
        <v>14</v>
      </c>
    </row>
    <row r="38" ht="35.649999999999999" customHeight="1">
      <c r="Q38" s="553"/>
      <c r="R38" s="553"/>
      <c r="S38" s="498"/>
      <c r="T38" s="362"/>
      <c r="U38" s="569"/>
      <c r="V38" s="324" t="s">
        <v>488</v>
      </c>
      <c r="W38" s="73" t="s">
        <v>435</v>
      </c>
      <c r="X38" s="72"/>
      <c r="Y38" s="73" t="s">
        <v>436</v>
      </c>
      <c r="Z38" s="145"/>
      <c r="AA38" s="72"/>
      <c r="AB38" s="571"/>
      <c r="AC38" s="324" t="s">
        <v>488</v>
      </c>
      <c r="AD38" s="73" t="s">
        <v>435</v>
      </c>
      <c r="AE38" s="72"/>
      <c r="AF38" s="73" t="s">
        <v>436</v>
      </c>
      <c r="AG38" s="145"/>
      <c r="AH38" s="72"/>
      <c r="AI38" s="571"/>
      <c r="AJ38" s="572"/>
      <c r="AK38" s="157"/>
      <c r="AQ38" s="50">
        <v>34</v>
      </c>
    </row>
    <row r="39" ht="35.649999999999999" customHeight="1">
      <c r="A39" s="151"/>
      <c r="B39" s="151" t="s">
        <v>135</v>
      </c>
      <c r="C39" s="151" t="s">
        <v>136</v>
      </c>
      <c r="D39" s="151" t="s">
        <v>137</v>
      </c>
      <c r="E39" s="495" t="s">
        <v>437</v>
      </c>
      <c r="F39" s="495" t="s">
        <v>438</v>
      </c>
      <c r="G39" s="495" t="s">
        <v>439</v>
      </c>
      <c r="H39" s="495"/>
      <c r="I39" s="495" t="s">
        <v>489</v>
      </c>
      <c r="J39" s="495" t="s">
        <v>442</v>
      </c>
      <c r="K39" s="495" t="s">
        <v>490</v>
      </c>
      <c r="L39" s="495" t="s">
        <v>418</v>
      </c>
      <c r="Q39" s="553"/>
      <c r="R39" s="553"/>
      <c r="S39" s="498"/>
      <c r="T39" s="362"/>
      <c r="U39" s="573"/>
      <c r="V39" s="324" t="s">
        <v>491</v>
      </c>
      <c r="W39" s="246" t="s">
        <v>492</v>
      </c>
      <c r="X39" s="246" t="s">
        <v>493</v>
      </c>
      <c r="Y39" s="246" t="s">
        <v>446</v>
      </c>
      <c r="Z39" s="429" t="s">
        <v>447</v>
      </c>
      <c r="AA39" s="431"/>
      <c r="AB39" s="575"/>
      <c r="AC39" s="324" t="s">
        <v>491</v>
      </c>
      <c r="AD39" s="246" t="s">
        <v>492</v>
      </c>
      <c r="AE39" s="246" t="s">
        <v>493</v>
      </c>
      <c r="AF39" s="246" t="s">
        <v>446</v>
      </c>
      <c r="AG39" s="429" t="s">
        <v>447</v>
      </c>
      <c r="AH39" s="431"/>
      <c r="AI39" s="575"/>
      <c r="AJ39" s="576"/>
      <c r="AK39" s="157"/>
      <c r="AQ39" s="50">
        <v>34</v>
      </c>
    </row>
    <row r="40" s="131" customFormat="1" ht="0"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2">
        <f ca="1">OFFSET(AJ40,0,-1)</f>
        <v>14</v>
      </c>
      <c r="AK40" s="583">
        <f ca="1">OFFSET(AK40,0,-1)+1</f>
        <v>15</v>
      </c>
      <c r="AL40" s="57"/>
      <c r="AM40" s="57"/>
      <c r="AN40" s="57"/>
      <c r="AO40" s="57"/>
      <c r="AP40" s="57"/>
      <c r="AQ40" s="131">
        <v>0</v>
      </c>
    </row>
    <row r="41" ht="24" customHeight="1">
      <c r="A41" s="493" t="s">
        <v>243</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0</v>
      </c>
      <c r="T41" s="499" t="s">
        <v>123</v>
      </c>
      <c r="U41" s="500"/>
      <c r="V41" s="501"/>
      <c r="W41" s="502"/>
      <c r="X41" s="502"/>
      <c r="Y41" s="502"/>
      <c r="Z41" s="502"/>
      <c r="AA41" s="502"/>
      <c r="AB41" s="503"/>
      <c r="AC41" s="501" t="str">
        <f>INDEX(PT_DIFFERENTIATION_NTAR,MATCH(A41,PT_DIFFERENTIATION_NTAR_ID,0))</f>
        <v/>
      </c>
      <c r="AD41" s="502"/>
      <c r="AE41" s="502"/>
      <c r="AF41" s="502"/>
      <c r="AG41" s="502"/>
      <c r="AH41" s="502"/>
      <c r="AI41" s="502"/>
      <c r="AJ41" s="503"/>
      <c r="AK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0"/>
        <v xml:space="preserve">Наименование тарифа</v>
      </c>
      <c r="AO41" s="129"/>
      <c r="AP41" s="129"/>
      <c r="AQ41" s="50">
        <v>23</v>
      </c>
    </row>
    <row r="42" ht="24" customHeight="1">
      <c r="A42" s="493" t="s">
        <v>243</v>
      </c>
      <c r="B42" s="493" t="s">
        <v>244</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v>
      </c>
      <c r="T42" s="508" t="s">
        <v>399</v>
      </c>
      <c r="U42" s="500"/>
      <c r="V42" s="501"/>
      <c r="W42" s="502"/>
      <c r="X42" s="502"/>
      <c r="Y42" s="502"/>
      <c r="Z42" s="502"/>
      <c r="AA42" s="502"/>
      <c r="AB42" s="503"/>
      <c r="AC42" s="501" t="str">
        <f>INDEX(PT_DIFFERENTIATION_TER,MATCH(B42,PT_DIFFERENTIATION_TER_ID,0))</f>
        <v/>
      </c>
      <c r="AD42" s="502"/>
      <c r="AE42" s="502"/>
      <c r="AF42" s="502"/>
      <c r="AG42" s="502"/>
      <c r="AH42" s="502"/>
      <c r="AI42" s="502"/>
      <c r="AJ42" s="503"/>
      <c r="AK42" s="504" t="s">
        <v>400</v>
      </c>
      <c r="AM42" s="129"/>
      <c r="AN42" s="129" t="str">
        <f t="shared" si="30"/>
        <v xml:space="preserve">Территория действия тарифа</v>
      </c>
      <c r="AO42" s="129"/>
      <c r="AP42" s="129"/>
      <c r="AQ42" s="50">
        <v>23</v>
      </c>
    </row>
    <row r="43" ht="24" customHeight="1">
      <c r="A43" s="493" t="s">
        <v>243</v>
      </c>
      <c r="B43" s="493" t="s">
        <v>244</v>
      </c>
      <c r="C43" s="493" t="s">
        <v>245</v>
      </c>
      <c r="D43" s="493"/>
      <c r="E43" s="505"/>
      <c r="F43" s="505"/>
      <c r="G43" s="494">
        <v>1</v>
      </c>
      <c r="H43" s="493"/>
      <c r="I43" s="493"/>
      <c r="J43" s="493"/>
      <c r="K43" s="493"/>
      <c r="L43" s="495"/>
      <c r="M43" s="496"/>
      <c r="N43" s="496"/>
      <c r="O43" s="496"/>
      <c r="P43" s="509"/>
      <c r="Q43" s="506"/>
      <c r="R43" s="507"/>
      <c r="S43" s="498" t="str">
        <f>INDEX(PT_DIFFERENTIATION_NUM_CS,MATCH(C43,PT_DIFFERENTIATION_CS_ID,0))</f>
        <v>..</v>
      </c>
      <c r="T43" s="510" t="s">
        <v>480</v>
      </c>
      <c r="U43" s="500"/>
      <c r="V43" s="501"/>
      <c r="W43" s="502"/>
      <c r="X43" s="502"/>
      <c r="Y43" s="502"/>
      <c r="Z43" s="502"/>
      <c r="AA43" s="502"/>
      <c r="AB43" s="503"/>
      <c r="AC43" s="501" t="str">
        <f>INDEX(PT_DIFFERENTIATION_CS,MATCH(C43,PT_DIFFERENTIATION_CS_ID,0))</f>
        <v/>
      </c>
      <c r="AD43" s="502"/>
      <c r="AE43" s="502"/>
      <c r="AF43" s="502"/>
      <c r="AG43" s="502"/>
      <c r="AH43" s="502"/>
      <c r="AI43" s="502"/>
      <c r="AJ43" s="503"/>
      <c r="AK43" s="504" t="s">
        <v>481</v>
      </c>
      <c r="AM43" s="129"/>
      <c r="AN43" s="129" t="str">
        <f t="shared" si="30"/>
        <v xml:space="preserve">Наименование централизованной системы холодного водоснабжения</v>
      </c>
      <c r="AO43" s="129"/>
      <c r="AP43" s="129"/>
      <c r="AQ43" s="50">
        <v>23</v>
      </c>
    </row>
    <row r="44" ht="24" customHeight="1">
      <c r="A44" s="493" t="s">
        <v>243</v>
      </c>
      <c r="B44" s="493" t="s">
        <v>244</v>
      </c>
      <c r="C44" s="493" t="s">
        <v>245</v>
      </c>
      <c r="D44" s="493" t="s">
        <v>500</v>
      </c>
      <c r="E44" s="505"/>
      <c r="F44" s="505"/>
      <c r="G44" s="505"/>
      <c r="H44" s="505"/>
      <c r="I44" s="512" t="str">
        <f>S43&amp;".1"</f>
        <v>...1</v>
      </c>
      <c r="J44" s="493"/>
      <c r="K44" s="493"/>
      <c r="L44" s="495"/>
      <c r="P44" s="132">
        <v>1</v>
      </c>
      <c r="Q44" s="132"/>
      <c r="R44" s="513"/>
      <c r="S44" s="498" t="str">
        <f>$I44</f>
        <v>...1</v>
      </c>
      <c r="T44" s="514" t="s">
        <v>482</v>
      </c>
      <c r="U44" s="500"/>
      <c r="V44" s="689"/>
      <c r="W44" s="690"/>
      <c r="X44" s="690"/>
      <c r="Y44" s="690"/>
      <c r="Z44" s="690"/>
      <c r="AA44" s="690"/>
      <c r="AB44" s="691"/>
      <c r="AC44" s="692"/>
      <c r="AD44" s="693"/>
      <c r="AE44" s="693"/>
      <c r="AF44" s="693"/>
      <c r="AG44" s="693"/>
      <c r="AH44" s="693"/>
      <c r="AI44" s="693"/>
      <c r="AJ44" s="694"/>
      <c r="AK44" s="504" t="s">
        <v>483</v>
      </c>
      <c r="AM44" s="129"/>
      <c r="AN44" s="129" t="str">
        <f t="shared" si="30"/>
        <v xml:space="preserve">Наименование признака дифференциации</v>
      </c>
      <c r="AO44" s="129"/>
      <c r="AP44" s="129"/>
      <c r="AQ44" s="50">
        <v>23</v>
      </c>
    </row>
    <row r="45" ht="24" customHeight="1">
      <c r="A45" s="493" t="s">
        <v>243</v>
      </c>
      <c r="B45" s="493" t="s">
        <v>244</v>
      </c>
      <c r="C45" s="493" t="s">
        <v>245</v>
      </c>
      <c r="D45" s="493" t="s">
        <v>500</v>
      </c>
      <c r="E45" s="505"/>
      <c r="F45" s="505"/>
      <c r="G45" s="505"/>
      <c r="H45" s="505"/>
      <c r="I45" s="517"/>
      <c r="J45" s="512" t="str">
        <f>I44&amp;".1"</f>
        <v>...1.1</v>
      </c>
      <c r="K45" s="493"/>
      <c r="L45" s="495" t="s">
        <v>408</v>
      </c>
      <c r="P45" s="132"/>
      <c r="Q45" s="132">
        <v>1</v>
      </c>
      <c r="R45" s="518"/>
      <c r="S45" s="498" t="str">
        <f>$J45</f>
        <v>...1.1</v>
      </c>
      <c r="T45" s="519" t="s">
        <v>409</v>
      </c>
      <c r="U45" s="500"/>
      <c r="V45" s="445"/>
      <c r="W45" s="515"/>
      <c r="X45" s="515"/>
      <c r="Y45" s="515"/>
      <c r="Z45" s="515"/>
      <c r="AA45" s="515"/>
      <c r="AB45" s="516"/>
      <c r="AC45" s="445"/>
      <c r="AD45" s="515"/>
      <c r="AE45" s="515"/>
      <c r="AF45" s="515"/>
      <c r="AG45" s="515"/>
      <c r="AH45" s="515"/>
      <c r="AI45" s="515"/>
      <c r="AJ45" s="516"/>
      <c r="AK45" s="631" t="s">
        <v>484</v>
      </c>
      <c r="AM45" s="129"/>
      <c r="AN45" s="129" t="str">
        <f t="shared" si="30"/>
        <v xml:space="preserve">Группа потребителей</v>
      </c>
      <c r="AO45" s="129"/>
      <c r="AP45" s="129"/>
      <c r="AQ45" s="50">
        <v>23</v>
      </c>
    </row>
    <row r="46" ht="24" customHeight="1">
      <c r="A46" s="493" t="s">
        <v>243</v>
      </c>
      <c r="B46" s="493" t="s">
        <v>244</v>
      </c>
      <c r="C46" s="493" t="s">
        <v>245</v>
      </c>
      <c r="D46" s="493" t="s">
        <v>500</v>
      </c>
      <c r="E46" s="505"/>
      <c r="F46" s="505"/>
      <c r="G46" s="505"/>
      <c r="H46" s="505"/>
      <c r="I46" s="517"/>
      <c r="J46" s="517"/>
      <c r="K46" s="512" t="str">
        <f>J45&amp;".1"</f>
        <v>...1.1.1</v>
      </c>
      <c r="L46" s="495"/>
      <c r="P46" s="132"/>
      <c r="Q46" s="132"/>
      <c r="R46" s="518">
        <v>1</v>
      </c>
      <c r="S46" s="498" t="str">
        <f>$K46</f>
        <v>...1.1.1</v>
      </c>
      <c r="T46" s="695"/>
      <c r="U46" s="500"/>
      <c r="V46" s="521"/>
      <c r="W46" s="521"/>
      <c r="X46" s="523"/>
      <c r="Y46" s="524"/>
      <c r="Z46" s="224" t="s">
        <v>66</v>
      </c>
      <c r="AA46" s="524"/>
      <c r="AB46" s="224" t="s">
        <v>66</v>
      </c>
      <c r="AC46" s="521"/>
      <c r="AD46" s="521"/>
      <c r="AE46" s="523"/>
      <c r="AF46" s="524"/>
      <c r="AG46" s="224" t="s">
        <v>66</v>
      </c>
      <c r="AH46" s="584"/>
      <c r="AI46" s="224" t="s">
        <v>66</v>
      </c>
      <c r="AJ46" s="696"/>
      <c r="AK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0"/>
        <v/>
      </c>
      <c r="AO46" s="129"/>
      <c r="AP46" s="129"/>
      <c r="AQ46" s="50">
        <v>23</v>
      </c>
    </row>
    <row r="47" ht="0" customHeight="1">
      <c r="A47" s="493" t="s">
        <v>243</v>
      </c>
      <c r="B47" s="493" t="s">
        <v>244</v>
      </c>
      <c r="C47" s="493" t="s">
        <v>245</v>
      </c>
      <c r="D47" s="493" t="s">
        <v>500</v>
      </c>
      <c r="E47" s="505"/>
      <c r="F47" s="505"/>
      <c r="G47" s="505"/>
      <c r="H47" s="505"/>
      <c r="I47" s="517"/>
      <c r="J47" s="517"/>
      <c r="K47" s="512"/>
      <c r="L47" s="495"/>
      <c r="P47" s="132"/>
      <c r="Q47" s="132"/>
      <c r="R47" s="518"/>
      <c r="S47" s="472"/>
      <c r="T47" s="500"/>
      <c r="U47" s="500"/>
      <c r="V47" s="522"/>
      <c r="W47" s="522"/>
      <c r="X47" s="526" t="str">
        <f>Y46&amp;"-"&amp;AA46</f>
        <v>-</v>
      </c>
      <c r="Y47" s="527"/>
      <c r="Z47" s="224"/>
      <c r="AA47" s="527"/>
      <c r="AB47" s="224"/>
      <c r="AC47" s="522"/>
      <c r="AD47" s="522"/>
      <c r="AE47" s="526" t="str">
        <f>AF46&amp;"-"&amp;AH46</f>
        <v>-</v>
      </c>
      <c r="AF47" s="527"/>
      <c r="AG47" s="224"/>
      <c r="AH47" s="586"/>
      <c r="AI47" s="224"/>
      <c r="AJ47" s="698"/>
      <c r="AK47" s="697"/>
      <c r="AM47" s="129"/>
      <c r="AN47" s="129" t="str">
        <f t="shared" si="30"/>
        <v/>
      </c>
      <c r="AO47" s="129"/>
      <c r="AP47" s="129"/>
      <c r="AQ47" s="50">
        <v>0</v>
      </c>
    </row>
    <row r="48" ht="21" customHeight="1">
      <c r="A48" s="493" t="s">
        <v>243</v>
      </c>
      <c r="B48" s="493" t="s">
        <v>244</v>
      </c>
      <c r="C48" s="493" t="s">
        <v>245</v>
      </c>
      <c r="D48" s="493" t="s">
        <v>500</v>
      </c>
      <c r="E48" s="505"/>
      <c r="F48" s="505"/>
      <c r="G48" s="505"/>
      <c r="H48" s="505"/>
      <c r="I48" s="517"/>
      <c r="J48" s="512"/>
      <c r="K48" s="493"/>
      <c r="L48" s="495"/>
      <c r="P48" s="132"/>
      <c r="Q48" s="132"/>
      <c r="R48" s="513"/>
      <c r="S48" s="529"/>
      <c r="T48" s="533" t="s">
        <v>485</v>
      </c>
      <c r="U48" s="214"/>
      <c r="V48" s="214"/>
      <c r="W48" s="214"/>
      <c r="X48" s="214"/>
      <c r="Y48" s="214"/>
      <c r="Z48" s="214"/>
      <c r="AA48" s="214"/>
      <c r="AB48" s="214"/>
      <c r="AC48" s="214"/>
      <c r="AD48" s="214"/>
      <c r="AE48" s="214"/>
      <c r="AF48" s="214"/>
      <c r="AG48" s="214"/>
      <c r="AH48" s="214"/>
      <c r="AI48" s="214"/>
      <c r="AJ48" s="214"/>
      <c r="AK48" s="504" t="s">
        <v>486</v>
      </c>
      <c r="AM48" s="129"/>
      <c r="AN48" s="129" t="str">
        <f t="shared" si="30"/>
        <v xml:space="preserve">Добавить значение признака дифференциации</v>
      </c>
      <c r="AO48" s="129"/>
      <c r="AP48" s="129"/>
      <c r="AQ48" s="50">
        <v>20</v>
      </c>
    </row>
    <row r="49" ht="22" customHeight="1">
      <c r="A49" s="493" t="s">
        <v>243</v>
      </c>
      <c r="B49" s="493" t="s">
        <v>244</v>
      </c>
      <c r="C49" s="493" t="s">
        <v>245</v>
      </c>
      <c r="D49" s="493" t="s">
        <v>500</v>
      </c>
      <c r="E49" s="505"/>
      <c r="F49" s="505"/>
      <c r="G49" s="505"/>
      <c r="H49" s="505"/>
      <c r="I49" s="512"/>
      <c r="J49" s="493"/>
      <c r="K49" s="493"/>
      <c r="L49" s="495"/>
      <c r="P49" s="132"/>
      <c r="Q49" s="132"/>
      <c r="R49" s="513"/>
      <c r="S49" s="529"/>
      <c r="T49" s="537" t="s">
        <v>414</v>
      </c>
      <c r="U49" s="214"/>
      <c r="V49" s="214"/>
      <c r="W49" s="214"/>
      <c r="X49" s="214"/>
      <c r="Y49" s="214"/>
      <c r="Z49" s="214"/>
      <c r="AA49" s="214"/>
      <c r="AB49" s="534"/>
      <c r="AC49" s="214"/>
      <c r="AD49" s="214"/>
      <c r="AE49" s="214"/>
      <c r="AF49" s="214"/>
      <c r="AG49" s="214"/>
      <c r="AH49" s="214"/>
      <c r="AI49" s="534"/>
      <c r="AJ49" s="214"/>
      <c r="AK49" s="699"/>
      <c r="AM49" s="129"/>
      <c r="AN49" s="129" t="str">
        <f t="shared" si="30"/>
        <v xml:space="preserve">Добавить группу потребителей</v>
      </c>
      <c r="AO49" s="129"/>
      <c r="AP49" s="129"/>
      <c r="AQ49" s="50">
        <v>21</v>
      </c>
    </row>
    <row r="50" ht="22" customHeight="1">
      <c r="A50" s="493" t="s">
        <v>243</v>
      </c>
      <c r="B50" s="493" t="s">
        <v>244</v>
      </c>
      <c r="C50" s="493" t="s">
        <v>245</v>
      </c>
      <c r="D50" s="493" t="s">
        <v>500</v>
      </c>
      <c r="E50" s="505"/>
      <c r="F50" s="505"/>
      <c r="G50" s="505"/>
      <c r="H50" s="494"/>
      <c r="I50" s="493"/>
      <c r="J50" s="493"/>
      <c r="K50" s="493"/>
      <c r="L50" s="495"/>
      <c r="M50" s="496"/>
      <c r="N50" s="496"/>
      <c r="O50" s="53"/>
      <c r="P50" s="143"/>
      <c r="Q50" s="536"/>
      <c r="R50" s="497"/>
      <c r="S50" s="529"/>
      <c r="T50" s="700" t="s">
        <v>487</v>
      </c>
      <c r="U50" s="214"/>
      <c r="V50" s="214"/>
      <c r="W50" s="214"/>
      <c r="X50" s="214"/>
      <c r="Y50" s="214"/>
      <c r="Z50" s="214"/>
      <c r="AA50" s="214"/>
      <c r="AB50" s="534"/>
      <c r="AC50" s="214"/>
      <c r="AD50" s="214"/>
      <c r="AE50" s="214"/>
      <c r="AF50" s="214"/>
      <c r="AG50" s="214"/>
      <c r="AH50" s="214"/>
      <c r="AI50" s="534"/>
      <c r="AJ50" s="214"/>
      <c r="AK50" s="535"/>
      <c r="AM50" s="129"/>
      <c r="AN50" s="129" t="str">
        <f t="shared" si="30"/>
        <v xml:space="preserve">Добавить наименование признака дифференциации</v>
      </c>
      <c r="AO50" s="129"/>
      <c r="AP50" s="129"/>
      <c r="AQ50" s="50">
        <v>21</v>
      </c>
    </row>
    <row r="51" s="57" customFormat="1" ht="0" customHeight="1">
      <c r="A51" s="133" t="s">
        <v>243</v>
      </c>
      <c r="B51" s="133" t="s">
        <v>244</v>
      </c>
      <c r="C51" s="133"/>
      <c r="D51" s="133"/>
      <c r="E51" s="505"/>
      <c r="F51" s="494"/>
      <c r="G51" s="133"/>
      <c r="H51" s="133"/>
      <c r="I51" s="133"/>
      <c r="J51" s="133"/>
      <c r="K51" s="133"/>
      <c r="L51" s="212"/>
      <c r="M51" s="542"/>
      <c r="N51" s="542"/>
      <c r="P51" s="167"/>
      <c r="Q51" s="538"/>
      <c r="R51" s="167"/>
      <c r="S51" s="543"/>
      <c r="T51" s="546" t="s">
        <v>238</v>
      </c>
      <c r="U51" s="545"/>
      <c r="V51" s="545"/>
      <c r="W51" s="545"/>
      <c r="X51" s="545"/>
      <c r="Y51" s="545"/>
      <c r="Z51" s="545"/>
      <c r="AA51" s="545"/>
      <c r="AB51" s="545"/>
      <c r="AC51" s="545"/>
      <c r="AD51" s="545"/>
      <c r="AE51" s="545"/>
      <c r="AF51" s="545"/>
      <c r="AG51" s="545"/>
      <c r="AH51" s="545"/>
      <c r="AI51" s="545"/>
      <c r="AJ51" s="545"/>
      <c r="AK51" s="545"/>
      <c r="AM51" s="129"/>
      <c r="AN51" s="129" t="str">
        <f t="shared" si="30"/>
        <v xml:space="preserve">Добавить централизованную систему для дифференциации</v>
      </c>
      <c r="AO51" s="129"/>
      <c r="AP51" s="129"/>
      <c r="AQ51" s="57">
        <v>0</v>
      </c>
    </row>
    <row r="52" s="57" customFormat="1" ht="0" customHeight="1">
      <c r="A52" s="133" t="s">
        <v>243</v>
      </c>
      <c r="B52" s="133"/>
      <c r="C52" s="133"/>
      <c r="D52" s="133"/>
      <c r="E52" s="494"/>
      <c r="F52" s="133"/>
      <c r="G52" s="133"/>
      <c r="H52" s="133"/>
      <c r="I52" s="133"/>
      <c r="J52" s="133"/>
      <c r="K52" s="133"/>
      <c r="L52" s="212"/>
      <c r="M52" s="542"/>
      <c r="N52" s="542"/>
      <c r="O52" s="57"/>
      <c r="P52" s="167"/>
      <c r="Q52" s="538"/>
      <c r="R52" s="167"/>
      <c r="S52" s="543"/>
      <c r="T52" s="546" t="s">
        <v>239</v>
      </c>
      <c r="U52" s="545"/>
      <c r="V52" s="545"/>
      <c r="W52" s="545"/>
      <c r="X52" s="545"/>
      <c r="Y52" s="545"/>
      <c r="Z52" s="545"/>
      <c r="AA52" s="545"/>
      <c r="AB52" s="545"/>
      <c r="AC52" s="545"/>
      <c r="AD52" s="545"/>
      <c r="AE52" s="545"/>
      <c r="AF52" s="545"/>
      <c r="AG52" s="545"/>
      <c r="AH52" s="545"/>
      <c r="AI52" s="545"/>
      <c r="AJ52" s="545"/>
      <c r="AK52" s="545"/>
      <c r="AM52" s="129"/>
      <c r="AN52" s="129" t="str">
        <f t="shared" si="30"/>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240</v>
      </c>
      <c r="U53" s="545"/>
      <c r="V53" s="545"/>
      <c r="W53" s="545"/>
      <c r="X53" s="545"/>
      <c r="Y53" s="545"/>
      <c r="Z53" s="545"/>
      <c r="AA53" s="545"/>
      <c r="AB53" s="545"/>
      <c r="AC53" s="545"/>
      <c r="AD53" s="545"/>
      <c r="AE53" s="545"/>
      <c r="AF53" s="545"/>
      <c r="AG53" s="545"/>
      <c r="AH53" s="545"/>
      <c r="AI53" s="545"/>
      <c r="AJ53" s="545"/>
      <c r="AK53" s="545"/>
      <c r="AM53" s="129"/>
      <c r="AN53" s="129" t="str">
        <f t="shared" si="30"/>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Q55" s="50">
        <v>14</v>
      </c>
    </row>
    <row r="56" ht="14.65" customHeight="1">
      <c r="O56" s="53"/>
      <c r="AQ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600C4-0008-44EC-BF95-00CE0090009C}"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A40020-00AF-43AA-8B90-0082009C0085}"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1C00B7-0018-4473-95BC-001B00CD0019}"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2700F9-003A-438B-89B5-0011008B00C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52" width="3.00390625"/>
    <col customWidth="1" min="18" max="18" style="492"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4"/>
      <c r="B2" s="264"/>
      <c r="C2" s="264"/>
      <c r="D2" s="264"/>
      <c r="E2" s="589">
        <v>1</v>
      </c>
      <c r="F2" s="264"/>
      <c r="G2" s="264"/>
      <c r="H2" s="264"/>
      <c r="I2" s="264"/>
      <c r="J2" s="264"/>
      <c r="K2" s="264"/>
      <c r="L2" s="337"/>
      <c r="M2" s="86"/>
      <c r="N2" s="86"/>
      <c r="O2" s="86"/>
      <c r="P2" s="61"/>
      <c r="Q2" s="64"/>
      <c r="R2" s="497"/>
      <c r="S2" s="498" t="e">
        <f>INDEX(PT_DIFFERENTIATION_NUM_NTAR,MATCH(A2,PT_DIFFERENTIATION_NTAR_ID,0))</f>
        <v>#VALUE!</v>
      </c>
      <c r="T2" s="499" t="s">
        <v>123</v>
      </c>
      <c r="U2" s="500"/>
      <c r="V2" s="502"/>
      <c r="W2" s="502"/>
      <c r="X2" s="502"/>
      <c r="Y2" s="502"/>
      <c r="Z2" s="502"/>
      <c r="AA2" s="503"/>
      <c r="AB2" s="502"/>
      <c r="AC2" s="502" t="e">
        <f>INDEX(PT_DIFFERENTIATION_NTAR,MATCH(A2,PT_DIFFERENTIATION_NTAR_ID,0))</f>
        <v>#VALUE!</v>
      </c>
      <c r="AD2" s="502"/>
      <c r="AE2" s="502"/>
      <c r="AF2" s="502"/>
      <c r="AG2" s="502"/>
      <c r="AH2" s="502"/>
      <c r="AI2" s="502"/>
      <c r="AJ2" s="503"/>
      <c r="AK2" s="504" t="s">
        <v>398</v>
      </c>
      <c r="AM2" s="129"/>
      <c r="AN2" s="129" t="str">
        <f t="shared" ref="AN2:AN9" si="31">IF(T2="","",T2)</f>
        <v xml:space="preserve">Наименование тарифа</v>
      </c>
      <c r="AO2" s="129"/>
      <c r="AP2" s="129"/>
      <c r="AQ2" s="50">
        <v>0</v>
      </c>
    </row>
    <row r="3" ht="21" hidden="1" customHeight="1">
      <c r="A3" s="264"/>
      <c r="B3" s="264"/>
      <c r="C3" s="264"/>
      <c r="D3" s="264"/>
      <c r="E3" s="590"/>
      <c r="F3" s="589">
        <v>1</v>
      </c>
      <c r="G3" s="264"/>
      <c r="H3" s="264"/>
      <c r="I3" s="264"/>
      <c r="J3" s="264"/>
      <c r="K3" s="264"/>
      <c r="L3" s="337"/>
      <c r="M3" s="86"/>
      <c r="N3" s="86"/>
      <c r="O3" s="86"/>
      <c r="P3" s="113"/>
      <c r="Q3" s="643"/>
      <c r="R3" s="507"/>
      <c r="S3" s="498" t="e">
        <f>INDEX(PT_DIFFERENTIATION_NUM_TER,MATCH(B3,PT_DIFFERENTIATION_TER_ID,0))</f>
        <v>#VALUE!</v>
      </c>
      <c r="T3" s="508" t="s">
        <v>399</v>
      </c>
      <c r="U3" s="500"/>
      <c r="V3" s="502"/>
      <c r="W3" s="502"/>
      <c r="X3" s="502"/>
      <c r="Y3" s="502"/>
      <c r="Z3" s="502"/>
      <c r="AA3" s="503"/>
      <c r="AB3" s="502"/>
      <c r="AC3" s="502" t="e">
        <f>INDEX(PT_DIFFERENTIATION_TER,MATCH(B3,PT_DIFFERENTIATION_TER_ID,0))</f>
        <v>#VALUE!</v>
      </c>
      <c r="AD3" s="502"/>
      <c r="AE3" s="502"/>
      <c r="AF3" s="502"/>
      <c r="AG3" s="502"/>
      <c r="AH3" s="502"/>
      <c r="AI3" s="502"/>
      <c r="AJ3" s="503"/>
      <c r="AK3" s="504" t="s">
        <v>400</v>
      </c>
      <c r="AM3" s="129"/>
      <c r="AN3" s="129" t="str">
        <f t="shared" si="31"/>
        <v xml:space="preserve">Территория действия тарифа</v>
      </c>
      <c r="AO3" s="129"/>
      <c r="AP3" s="129"/>
      <c r="AQ3" s="50">
        <v>0</v>
      </c>
    </row>
    <row r="4" ht="22.5" hidden="1" customHeight="1">
      <c r="A4" s="264"/>
      <c r="B4" s="264"/>
      <c r="C4" s="264"/>
      <c r="D4" s="264"/>
      <c r="E4" s="590"/>
      <c r="F4" s="590"/>
      <c r="G4" s="589">
        <v>1</v>
      </c>
      <c r="H4" s="264"/>
      <c r="I4" s="264"/>
      <c r="J4" s="264"/>
      <c r="K4" s="264"/>
      <c r="L4" s="337"/>
      <c r="M4" s="86"/>
      <c r="N4" s="86"/>
      <c r="O4" s="86"/>
      <c r="P4" s="135"/>
      <c r="Q4" s="643"/>
      <c r="R4" s="507"/>
      <c r="S4" s="498" t="e">
        <f>INDEX(PT_DIFFERENTIATION_NUM_CS,MATCH(C4,PT_DIFFERENTIATION_CS_ID,0))</f>
        <v>#VALUE!</v>
      </c>
      <c r="T4" s="510" t="s">
        <v>401</v>
      </c>
      <c r="U4" s="500"/>
      <c r="V4" s="502"/>
      <c r="W4" s="502"/>
      <c r="X4" s="502"/>
      <c r="Y4" s="502"/>
      <c r="Z4" s="502"/>
      <c r="AA4" s="503"/>
      <c r="AB4" s="502"/>
      <c r="AC4" s="502" t="e">
        <f>INDEX(PT_DIFFERENTIATION_CS,MATCH(C4,PT_DIFFERENTIATION_CS_ID,0))</f>
        <v>#VALUE!</v>
      </c>
      <c r="AD4" s="502"/>
      <c r="AE4" s="502"/>
      <c r="AF4" s="502"/>
      <c r="AG4" s="502"/>
      <c r="AH4" s="502"/>
      <c r="AI4" s="502"/>
      <c r="AJ4" s="503"/>
      <c r="AK4" s="504" t="s">
        <v>402</v>
      </c>
      <c r="AM4" s="129"/>
      <c r="AN4" s="129" t="str">
        <f t="shared" si="31"/>
        <v xml:space="preserve">Наименование системы теплоснабжения</v>
      </c>
      <c r="AO4" s="129"/>
      <c r="AP4" s="129"/>
      <c r="AQ4" s="50">
        <v>0</v>
      </c>
    </row>
    <row r="5" ht="21" hidden="1" customHeight="1">
      <c r="A5" s="264"/>
      <c r="B5" s="264"/>
      <c r="C5" s="264"/>
      <c r="D5" s="264"/>
      <c r="E5" s="590"/>
      <c r="F5" s="590"/>
      <c r="G5" s="590"/>
      <c r="H5" s="589">
        <v>1</v>
      </c>
      <c r="I5" s="264"/>
      <c r="J5" s="264"/>
      <c r="K5" s="264"/>
      <c r="L5" s="337"/>
      <c r="M5" s="86"/>
      <c r="N5" s="86"/>
      <c r="O5" s="86"/>
      <c r="P5" s="135"/>
      <c r="Q5" s="643"/>
      <c r="R5" s="507"/>
      <c r="S5" s="498" t="e">
        <f>INDEX(PT_DIFFERENTIATION_NUM_IST_TE,MATCH(D5,PT_DIFFERENTIATION_IST_TE_ID,0))</f>
        <v>#VALUE!</v>
      </c>
      <c r="T5" s="511" t="s">
        <v>403</v>
      </c>
      <c r="U5" s="500"/>
      <c r="V5" s="502"/>
      <c r="W5" s="502"/>
      <c r="X5" s="502"/>
      <c r="Y5" s="502"/>
      <c r="Z5" s="502"/>
      <c r="AA5" s="503"/>
      <c r="AB5" s="502"/>
      <c r="AC5" s="502" t="e">
        <f>INDEX(PT_DIFFERENTIATION_IST_TE,MATCH(D5,PT_DIFFERENTIATION_IST_TE_ID,0))</f>
        <v>#VALUE!</v>
      </c>
      <c r="AD5" s="502"/>
      <c r="AE5" s="502"/>
      <c r="AF5" s="502"/>
      <c r="AG5" s="502"/>
      <c r="AH5" s="502"/>
      <c r="AI5" s="502"/>
      <c r="AJ5" s="503"/>
      <c r="AK5" s="504" t="s">
        <v>404</v>
      </c>
      <c r="AM5" s="129"/>
      <c r="AN5" s="129" t="str">
        <f t="shared" si="31"/>
        <v xml:space="preserve">Источник тепловой энергии</v>
      </c>
      <c r="AO5" s="129"/>
      <c r="AP5" s="129"/>
      <c r="AQ5" s="50">
        <v>0</v>
      </c>
    </row>
    <row r="6" s="57" customFormat="1" ht="0.75" hidden="1" customHeight="1">
      <c r="A6" s="591"/>
      <c r="B6" s="591"/>
      <c r="C6" s="591"/>
      <c r="D6" s="591"/>
      <c r="E6" s="590"/>
      <c r="F6" s="590"/>
      <c r="G6" s="590"/>
      <c r="H6" s="590"/>
      <c r="I6" s="157" t="e">
        <f>S5&amp;".1"</f>
        <v>#VALUE!</v>
      </c>
      <c r="J6" s="591"/>
      <c r="K6" s="591"/>
      <c r="L6" s="592" t="s">
        <v>405</v>
      </c>
      <c r="M6" s="577"/>
      <c r="N6" s="577"/>
      <c r="O6" s="577"/>
      <c r="P6" s="132">
        <v>1</v>
      </c>
      <c r="Q6" s="132"/>
      <c r="R6" s="513"/>
      <c r="S6" s="366"/>
      <c r="T6" s="600"/>
      <c r="U6" s="601"/>
      <c r="V6" s="603"/>
      <c r="W6" s="603"/>
      <c r="X6" s="603"/>
      <c r="Y6" s="603"/>
      <c r="Z6" s="603"/>
      <c r="AA6" s="604"/>
      <c r="AB6" s="603"/>
      <c r="AC6" s="603"/>
      <c r="AD6" s="603"/>
      <c r="AE6" s="603"/>
      <c r="AF6" s="603"/>
      <c r="AG6" s="603"/>
      <c r="AH6" s="603"/>
      <c r="AI6" s="603"/>
      <c r="AJ6" s="604"/>
      <c r="AK6" s="605"/>
      <c r="AM6" s="129"/>
      <c r="AN6" s="129" t="str">
        <f t="shared" si="31"/>
        <v/>
      </c>
      <c r="AO6" s="129"/>
      <c r="AP6" s="129"/>
      <c r="AQ6" s="57">
        <v>0</v>
      </c>
    </row>
    <row r="7" s="57" customFormat="1" ht="0.75" hidden="1" customHeight="1">
      <c r="A7" s="591"/>
      <c r="B7" s="591"/>
      <c r="C7" s="591"/>
      <c r="D7" s="591"/>
      <c r="E7" s="590"/>
      <c r="F7" s="590"/>
      <c r="G7" s="590"/>
      <c r="H7" s="590"/>
      <c r="I7" s="73"/>
      <c r="J7" s="157" t="e">
        <f>S5&amp;".1"</f>
        <v>#VALUE!</v>
      </c>
      <c r="K7" s="591"/>
      <c r="L7" s="592"/>
      <c r="M7" s="577"/>
      <c r="N7" s="577"/>
      <c r="O7" s="577"/>
      <c r="P7" s="132"/>
      <c r="Q7" s="132">
        <v>1</v>
      </c>
      <c r="R7" s="518"/>
      <c r="S7" s="366"/>
      <c r="T7" s="644"/>
      <c r="U7" s="601"/>
      <c r="V7" s="603"/>
      <c r="W7" s="603"/>
      <c r="X7" s="603"/>
      <c r="Y7" s="603"/>
      <c r="Z7" s="603"/>
      <c r="AA7" s="604"/>
      <c r="AB7" s="603"/>
      <c r="AC7" s="603"/>
      <c r="AD7" s="603"/>
      <c r="AE7" s="603"/>
      <c r="AF7" s="603"/>
      <c r="AG7" s="603"/>
      <c r="AH7" s="603"/>
      <c r="AI7" s="603"/>
      <c r="AJ7" s="604"/>
      <c r="AK7" s="605"/>
      <c r="AM7" s="129"/>
      <c r="AN7" s="129" t="str">
        <f t="shared" si="31"/>
        <v/>
      </c>
      <c r="AO7" s="129"/>
      <c r="AP7" s="129"/>
      <c r="AQ7" s="57">
        <v>0</v>
      </c>
    </row>
    <row r="8" ht="21" hidden="1" customHeight="1">
      <c r="A8" s="264"/>
      <c r="B8" s="264"/>
      <c r="C8" s="264"/>
      <c r="D8" s="264"/>
      <c r="E8" s="590"/>
      <c r="F8" s="590"/>
      <c r="G8" s="590"/>
      <c r="H8" s="590"/>
      <c r="I8" s="73"/>
      <c r="J8" s="73"/>
      <c r="K8" s="157" t="e">
        <f>S5&amp;".1"</f>
        <v>#VALUE!</v>
      </c>
      <c r="L8" s="337"/>
      <c r="P8" s="132"/>
      <c r="Q8" s="132"/>
      <c r="R8" s="645">
        <v>1</v>
      </c>
      <c r="S8" s="612" t="e">
        <f>$K8</f>
        <v>#VALUE!</v>
      </c>
      <c r="T8" s="646"/>
      <c r="U8" s="500"/>
      <c r="V8" s="521"/>
      <c r="W8" s="523"/>
      <c r="X8" s="524"/>
      <c r="Y8" s="224" t="s">
        <v>66</v>
      </c>
      <c r="Z8" s="524"/>
      <c r="AA8" s="224" t="s">
        <v>66</v>
      </c>
      <c r="AB8" s="746"/>
      <c r="AC8" s="747" t="s">
        <v>28</v>
      </c>
      <c r="AD8" s="521"/>
      <c r="AE8" s="523"/>
      <c r="AF8" s="524"/>
      <c r="AG8" s="224" t="s">
        <v>66</v>
      </c>
      <c r="AH8" s="524"/>
      <c r="AI8" s="224" t="s">
        <v>66</v>
      </c>
      <c r="AJ8" s="585"/>
      <c r="AK8" s="525" t="s">
        <v>463</v>
      </c>
      <c r="AL8" s="57" t="e">
        <f>STRCHECKDATE(#REF!)</f>
        <v>#NAME?</v>
      </c>
      <c r="AM8" s="129"/>
      <c r="AN8" s="129" t="str">
        <f t="shared" si="31"/>
        <v/>
      </c>
      <c r="AO8" s="129"/>
      <c r="AP8" s="129"/>
      <c r="AQ8" s="50">
        <v>0</v>
      </c>
    </row>
    <row r="9" ht="11.25" hidden="1" customHeight="1">
      <c r="A9" s="264"/>
      <c r="B9" s="264"/>
      <c r="C9" s="264"/>
      <c r="D9" s="264"/>
      <c r="E9" s="590"/>
      <c r="F9" s="590"/>
      <c r="G9" s="590"/>
      <c r="H9" s="590"/>
      <c r="I9" s="73"/>
      <c r="J9" s="157"/>
      <c r="K9" s="264"/>
      <c r="L9" s="337"/>
      <c r="P9" s="132"/>
      <c r="Q9" s="132"/>
      <c r="R9" s="513"/>
      <c r="S9" s="529"/>
      <c r="T9" s="533" t="s">
        <v>467</v>
      </c>
      <c r="U9" s="214"/>
      <c r="V9" s="214"/>
      <c r="W9" s="214"/>
      <c r="X9" s="214"/>
      <c r="Y9" s="214"/>
      <c r="Z9" s="214"/>
      <c r="AA9" s="214"/>
      <c r="AB9" s="214"/>
      <c r="AC9" s="214"/>
      <c r="AD9" s="214"/>
      <c r="AE9" s="214"/>
      <c r="AF9" s="214"/>
      <c r="AG9" s="214"/>
      <c r="AH9" s="214"/>
      <c r="AI9" s="214"/>
      <c r="AJ9" s="531"/>
      <c r="AK9" s="532"/>
      <c r="AM9" s="129"/>
      <c r="AN9" s="129" t="str">
        <f t="shared" si="31"/>
        <v xml:space="preserve">Добавить строку</v>
      </c>
      <c r="AO9" s="129"/>
      <c r="AP9" s="129"/>
      <c r="AQ9" s="50">
        <v>0</v>
      </c>
    </row>
    <row r="10" s="57" customFormat="1" ht="0.75" hidden="1" customHeight="1">
      <c r="A10" s="591"/>
      <c r="B10" s="591"/>
      <c r="C10" s="591"/>
      <c r="D10" s="591"/>
      <c r="E10" s="590"/>
      <c r="F10" s="590"/>
      <c r="G10" s="590"/>
      <c r="H10" s="590"/>
      <c r="I10" s="157"/>
      <c r="J10" s="591"/>
      <c r="K10" s="591"/>
      <c r="L10" s="592"/>
      <c r="M10" s="577"/>
      <c r="N10" s="577"/>
      <c r="O10" s="577"/>
      <c r="P10" s="132"/>
      <c r="Q10" s="132"/>
      <c r="R10" s="513"/>
      <c r="S10" s="606"/>
      <c r="T10" s="607"/>
      <c r="U10" s="608"/>
      <c r="V10" s="608"/>
      <c r="W10" s="608"/>
      <c r="X10" s="608"/>
      <c r="Y10" s="608"/>
      <c r="Z10" s="608"/>
      <c r="AA10" s="608"/>
      <c r="AB10" s="608"/>
      <c r="AC10" s="608"/>
      <c r="AD10" s="608"/>
      <c r="AE10" s="608"/>
      <c r="AF10" s="608"/>
      <c r="AG10" s="608"/>
      <c r="AH10" s="608"/>
      <c r="AI10" s="608"/>
      <c r="AJ10" s="608"/>
      <c r="AK10" s="609"/>
      <c r="AM10" s="129"/>
      <c r="AN10" s="129" t="str">
        <f t="shared" ref="AN10:AN56" si="32">IF(T10="","",T10)</f>
        <v/>
      </c>
      <c r="AO10" s="129"/>
      <c r="AP10" s="129"/>
      <c r="AQ10" s="57">
        <v>0</v>
      </c>
    </row>
    <row r="11" s="57" customFormat="1" ht="0.75" hidden="1" customHeight="1">
      <c r="A11" s="591"/>
      <c r="B11" s="591"/>
      <c r="C11" s="591"/>
      <c r="D11" s="591"/>
      <c r="E11" s="590"/>
      <c r="F11" s="590"/>
      <c r="G11" s="590"/>
      <c r="H11" s="589"/>
      <c r="I11" s="591"/>
      <c r="J11" s="591"/>
      <c r="K11" s="591"/>
      <c r="L11" s="592"/>
      <c r="M11" s="593"/>
      <c r="N11" s="593"/>
      <c r="O11" s="131"/>
      <c r="P11" s="167"/>
      <c r="Q11" s="538"/>
      <c r="R11" s="660"/>
      <c r="S11" s="606"/>
      <c r="T11" s="607"/>
      <c r="U11" s="608"/>
      <c r="V11" s="608"/>
      <c r="W11" s="608"/>
      <c r="X11" s="608"/>
      <c r="Y11" s="608"/>
      <c r="Z11" s="608"/>
      <c r="AA11" s="608"/>
      <c r="AB11" s="608"/>
      <c r="AC11" s="608"/>
      <c r="AD11" s="608"/>
      <c r="AE11" s="608"/>
      <c r="AF11" s="608"/>
      <c r="AG11" s="608"/>
      <c r="AH11" s="608"/>
      <c r="AI11" s="608"/>
      <c r="AJ11" s="608"/>
      <c r="AK11" s="609"/>
      <c r="AM11" s="129"/>
      <c r="AN11" s="129" t="str">
        <f t="shared" si="32"/>
        <v/>
      </c>
      <c r="AO11" s="129"/>
      <c r="AP11" s="129"/>
      <c r="AQ11" s="57">
        <v>0</v>
      </c>
    </row>
    <row r="12" s="57" customFormat="1" ht="0.75" hidden="1" customHeight="1">
      <c r="A12" s="591"/>
      <c r="B12" s="591"/>
      <c r="C12" s="591"/>
      <c r="D12" s="591"/>
      <c r="E12" s="590"/>
      <c r="F12" s="590"/>
      <c r="G12" s="589"/>
      <c r="H12" s="591"/>
      <c r="I12" s="591"/>
      <c r="J12" s="591"/>
      <c r="K12" s="591"/>
      <c r="L12" s="592"/>
      <c r="M12" s="593"/>
      <c r="N12" s="593"/>
      <c r="O12" s="131"/>
      <c r="P12" s="167"/>
      <c r="Q12" s="538"/>
      <c r="R12" s="167"/>
      <c r="S12" s="543"/>
      <c r="T12" s="546" t="s">
        <v>416</v>
      </c>
      <c r="U12" s="545"/>
      <c r="V12" s="545"/>
      <c r="W12" s="545"/>
      <c r="X12" s="545"/>
      <c r="Y12" s="545"/>
      <c r="Z12" s="545"/>
      <c r="AA12" s="545"/>
      <c r="AB12" s="545"/>
      <c r="AC12" s="545"/>
      <c r="AD12" s="545"/>
      <c r="AE12" s="545"/>
      <c r="AF12" s="545"/>
      <c r="AG12" s="545"/>
      <c r="AH12" s="545"/>
      <c r="AI12" s="545"/>
      <c r="AJ12" s="545"/>
      <c r="AK12" s="545"/>
      <c r="AM12" s="129"/>
      <c r="AN12" s="129" t="str">
        <f t="shared" si="32"/>
        <v xml:space="preserve">Добавить источник для дифференциации</v>
      </c>
      <c r="AO12" s="129"/>
      <c r="AP12" s="129"/>
      <c r="AQ12" s="57">
        <v>0</v>
      </c>
    </row>
    <row r="13" s="57" customFormat="1" ht="0.75" hidden="1" customHeight="1">
      <c r="A13" s="591"/>
      <c r="B13" s="591"/>
      <c r="C13" s="591"/>
      <c r="D13" s="591"/>
      <c r="E13" s="590"/>
      <c r="F13" s="589"/>
      <c r="G13" s="591"/>
      <c r="H13" s="591"/>
      <c r="I13" s="591"/>
      <c r="J13" s="591"/>
      <c r="K13" s="591"/>
      <c r="L13" s="592"/>
      <c r="M13" s="594"/>
      <c r="N13" s="594"/>
      <c r="O13" s="131"/>
      <c r="P13" s="167"/>
      <c r="Q13" s="538"/>
      <c r="R13" s="167"/>
      <c r="S13" s="543"/>
      <c r="T13" s="546" t="s">
        <v>238</v>
      </c>
      <c r="U13" s="545"/>
      <c r="V13" s="545"/>
      <c r="W13" s="545"/>
      <c r="X13" s="545"/>
      <c r="Y13" s="545"/>
      <c r="Z13" s="545"/>
      <c r="AA13" s="545"/>
      <c r="AB13" s="545"/>
      <c r="AC13" s="545"/>
      <c r="AD13" s="545"/>
      <c r="AE13" s="545"/>
      <c r="AF13" s="545"/>
      <c r="AG13" s="545"/>
      <c r="AH13" s="545"/>
      <c r="AI13" s="545"/>
      <c r="AJ13" s="545"/>
      <c r="AK13" s="545"/>
      <c r="AM13" s="129"/>
      <c r="AN13" s="129" t="str">
        <f t="shared" si="32"/>
        <v xml:space="preserve">Добавить централизованную систему для дифференциации</v>
      </c>
      <c r="AO13" s="129"/>
      <c r="AP13" s="129"/>
      <c r="AQ13" s="57">
        <v>0</v>
      </c>
    </row>
    <row r="14" s="57" customFormat="1" ht="0.75" hidden="1" customHeight="1">
      <c r="A14" s="591"/>
      <c r="B14" s="591"/>
      <c r="C14" s="591"/>
      <c r="D14" s="591"/>
      <c r="E14" s="589"/>
      <c r="F14" s="591"/>
      <c r="G14" s="591"/>
      <c r="H14" s="591"/>
      <c r="I14" s="591"/>
      <c r="J14" s="591"/>
      <c r="K14" s="591"/>
      <c r="L14" s="592"/>
      <c r="M14" s="594"/>
      <c r="N14" s="594"/>
      <c r="O14" s="131"/>
      <c r="P14" s="167"/>
      <c r="Q14" s="538"/>
      <c r="R14" s="167"/>
      <c r="S14" s="543"/>
      <c r="T14" s="546" t="s">
        <v>239</v>
      </c>
      <c r="U14" s="545"/>
      <c r="V14" s="545"/>
      <c r="W14" s="545"/>
      <c r="X14" s="545"/>
      <c r="Y14" s="545"/>
      <c r="Z14" s="545"/>
      <c r="AA14" s="545"/>
      <c r="AB14" s="545"/>
      <c r="AC14" s="545"/>
      <c r="AD14" s="545"/>
      <c r="AE14" s="545"/>
      <c r="AF14" s="545"/>
      <c r="AG14" s="545"/>
      <c r="AH14" s="545"/>
      <c r="AI14" s="545"/>
      <c r="AJ14" s="545"/>
      <c r="AK14" s="545"/>
      <c r="AM14" s="129"/>
      <c r="AN14" s="129" t="str">
        <f t="shared" si="32"/>
        <v xml:space="preserve">Добавить территорию для дифференциации</v>
      </c>
      <c r="AO14" s="129"/>
      <c r="AP14" s="129"/>
      <c r="AQ14" s="57">
        <v>0</v>
      </c>
    </row>
    <row r="15" ht="14.25" hidden="1" customHeight="1">
      <c r="AQ15" s="50">
        <v>0</v>
      </c>
    </row>
    <row r="16" ht="14.25" hidden="1" customHeight="1">
      <c r="AC16" s="662"/>
      <c r="AD16" s="665"/>
      <c r="AE16" s="666"/>
      <c r="AF16" s="667"/>
      <c r="AG16" s="299" t="s">
        <v>66</v>
      </c>
      <c r="AH16" s="667"/>
      <c r="AI16" s="299" t="s">
        <v>66</v>
      </c>
      <c r="AQ16" s="50">
        <v>0</v>
      </c>
    </row>
    <row r="17" ht="14.25" hidden="1" customHeight="1">
      <c r="AL17" s="131"/>
      <c r="AM17" s="131"/>
      <c r="AN17" s="131"/>
      <c r="AO17" s="131"/>
      <c r="AP17" s="131"/>
      <c r="AQ17" s="50">
        <v>0</v>
      </c>
    </row>
    <row r="18" ht="14.25" hidden="1" customHeight="1">
      <c r="O18" s="595" t="s">
        <v>417</v>
      </c>
      <c r="X18" s="595"/>
      <c r="Z18" s="595"/>
      <c r="AF18" s="595"/>
      <c r="AH18" s="595"/>
      <c r="AL18" s="131"/>
      <c r="AM18" s="131"/>
      <c r="AN18" s="131"/>
      <c r="AO18" s="131"/>
      <c r="AP18" s="131"/>
      <c r="AQ18" s="50">
        <v>0</v>
      </c>
    </row>
    <row r="19" ht="14.25" hidden="1" customHeight="1">
      <c r="AL19" s="131"/>
      <c r="AM19" s="131"/>
      <c r="AN19" s="131"/>
      <c r="AO19" s="131"/>
      <c r="AP19" s="131"/>
      <c r="AQ19" s="50">
        <v>0</v>
      </c>
    </row>
    <row r="20" s="668" customFormat="1" ht="14.25" hidden="1" customHeight="1">
      <c r="A20" s="748"/>
      <c r="B20" s="748"/>
      <c r="C20" s="748"/>
      <c r="D20" s="748"/>
      <c r="E20" s="748"/>
      <c r="F20" s="748"/>
      <c r="G20" s="748"/>
      <c r="H20" s="748"/>
      <c r="I20" s="748"/>
      <c r="J20" s="748"/>
      <c r="K20" s="748"/>
      <c r="L20" s="748"/>
      <c r="M20" s="596"/>
      <c r="N20" s="596"/>
      <c r="O20" s="748" t="s">
        <v>418</v>
      </c>
      <c r="P20" s="669"/>
      <c r="Q20" s="670"/>
      <c r="R20" s="670"/>
      <c r="Y20" s="668" t="s">
        <v>420</v>
      </c>
      <c r="AA20" s="668" t="s">
        <v>421</v>
      </c>
      <c r="AC20" s="668" t="s">
        <v>469</v>
      </c>
      <c r="AG20" s="668" t="s">
        <v>420</v>
      </c>
      <c r="AI20" s="668" t="s">
        <v>421</v>
      </c>
      <c r="AL20" s="671"/>
      <c r="AM20" s="671"/>
      <c r="AN20" s="671"/>
      <c r="AO20" s="671"/>
      <c r="AP20" s="671"/>
      <c r="AQ20" s="668">
        <v>0</v>
      </c>
    </row>
    <row r="21" ht="14.25" hidden="1" customHeight="1">
      <c r="O21" s="337"/>
      <c r="AL21" s="131"/>
      <c r="AM21" s="131"/>
      <c r="AN21" s="131"/>
      <c r="AO21" s="131"/>
      <c r="AP21" s="131"/>
      <c r="AQ21" s="50">
        <v>0</v>
      </c>
    </row>
    <row r="22" ht="14.25" hidden="1" customHeight="1">
      <c r="O22" s="337"/>
      <c r="AL22" s="131"/>
      <c r="AM22" s="131"/>
      <c r="AN22" s="131"/>
      <c r="AO22" s="131"/>
      <c r="AP22" s="131"/>
      <c r="AQ22" s="50">
        <v>0</v>
      </c>
    </row>
    <row r="23" ht="14.65" customHeight="1">
      <c r="Q23" s="672"/>
      <c r="R23" s="553"/>
      <c r="S23" s="554"/>
      <c r="T23" s="91"/>
      <c r="U23" s="91"/>
      <c r="V23" s="50"/>
      <c r="W23" s="50"/>
      <c r="X23" s="50"/>
      <c r="Y23" s="50"/>
      <c r="Z23" s="50"/>
      <c r="AA23" s="50"/>
      <c r="AB23" s="50"/>
      <c r="AC23" s="50"/>
      <c r="AD23" s="50"/>
      <c r="AE23" s="50"/>
      <c r="AF23" s="50"/>
      <c r="AG23" s="50"/>
      <c r="AH23" s="50"/>
      <c r="AI23" s="50"/>
      <c r="AQ23" s="50">
        <v>14</v>
      </c>
    </row>
    <row r="24" ht="39.75" customHeight="1">
      <c r="Q24" s="672"/>
      <c r="R24" s="553"/>
      <c r="S24" s="466"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6"/>
      <c r="U24" s="466"/>
      <c r="V24" s="466"/>
      <c r="W24" s="466"/>
      <c r="X24" s="466"/>
      <c r="Y24" s="466"/>
      <c r="Z24" s="466"/>
      <c r="AA24" s="466"/>
      <c r="AB24" s="466"/>
      <c r="AC24" s="466"/>
      <c r="AD24" s="466"/>
      <c r="AE24" s="466"/>
      <c r="AF24" s="466"/>
      <c r="AG24" s="466"/>
      <c r="AH24" s="466"/>
      <c r="AI24" s="240"/>
      <c r="AQ24" s="50">
        <v>38</v>
      </c>
    </row>
    <row r="25" ht="14.65" customHeight="1">
      <c r="Q25" s="672"/>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672"/>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06"/>
      <c r="B27" s="106"/>
      <c r="C27" s="106"/>
      <c r="D27" s="106"/>
      <c r="E27" s="106"/>
      <c r="F27" s="106"/>
      <c r="G27" s="106"/>
      <c r="H27" s="106"/>
      <c r="I27" s="106"/>
      <c r="J27" s="106"/>
      <c r="K27" s="106"/>
      <c r="L27" s="337"/>
      <c r="M27" s="106"/>
      <c r="N27" s="106"/>
      <c r="O27" s="106"/>
      <c r="P27" s="151"/>
      <c r="Q27" s="151"/>
      <c r="S27" s="556" t="s">
        <v>42</v>
      </c>
      <c r="T27" s="556"/>
      <c r="U27" s="557"/>
      <c r="V27" s="558" t="str">
        <f>IF(TITLE_NAME_OR_PR_CHANGE="",IF(TITLE_NAME_OR_PR="","",TITLE_NAME_OR_PR),TITLE_NAME_OR_PR_CHANGE)</f>
        <v/>
      </c>
      <c r="W27" s="558"/>
      <c r="X27" s="558"/>
      <c r="Y27" s="558"/>
      <c r="Z27" s="558"/>
      <c r="AA27" s="50"/>
      <c r="AB27" s="50"/>
      <c r="AC27" s="558"/>
      <c r="AD27" s="558"/>
      <c r="AE27" s="558"/>
      <c r="AF27" s="558"/>
      <c r="AG27" s="558"/>
      <c r="AH27" s="558"/>
      <c r="AI27" s="50"/>
      <c r="AJ27" s="50"/>
      <c r="AK27" s="559"/>
      <c r="AL27" s="129"/>
      <c r="AM27" s="129"/>
      <c r="AN27" s="129"/>
      <c r="AO27" s="129"/>
      <c r="AP27" s="129"/>
      <c r="AQ27" s="184">
        <v>0</v>
      </c>
    </row>
    <row r="28" s="184" customFormat="1" ht="18.75" hidden="1" customHeight="1">
      <c r="A28" s="106"/>
      <c r="B28" s="106"/>
      <c r="C28" s="106"/>
      <c r="D28" s="106"/>
      <c r="E28" s="106"/>
      <c r="F28" s="106"/>
      <c r="G28" s="106"/>
      <c r="H28" s="106"/>
      <c r="I28" s="106"/>
      <c r="J28" s="106"/>
      <c r="K28" s="106"/>
      <c r="L28" s="337"/>
      <c r="M28" s="106"/>
      <c r="N28" s="106"/>
      <c r="O28" s="106"/>
      <c r="P28" s="151"/>
      <c r="Q28" s="151"/>
      <c r="S28" s="556" t="s">
        <v>423</v>
      </c>
      <c r="T28" s="556"/>
      <c r="U28" s="557"/>
      <c r="V28" s="560" t="str">
        <f>IF(TITLE_DATE_PR_CHANGE="",IF(TITLE_DATE_PR="","",TITLE_DATE_PR),TITLE_DATE_PR_CHANGE)</f>
        <v>45406</v>
      </c>
      <c r="W28" s="560"/>
      <c r="X28" s="560"/>
      <c r="Y28" s="560"/>
      <c r="Z28" s="560"/>
      <c r="AA28" s="50"/>
      <c r="AB28" s="50"/>
      <c r="AC28" s="560"/>
      <c r="AD28" s="560"/>
      <c r="AE28" s="560"/>
      <c r="AF28" s="560"/>
      <c r="AG28" s="560"/>
      <c r="AH28" s="560"/>
      <c r="AI28" s="50"/>
      <c r="AJ28" s="50"/>
      <c r="AK28" s="559"/>
      <c r="AL28" s="129"/>
      <c r="AM28" s="129"/>
      <c r="AN28" s="129"/>
      <c r="AO28" s="129"/>
      <c r="AP28" s="129"/>
      <c r="AQ28" s="184">
        <v>0</v>
      </c>
    </row>
    <row r="29" s="184" customFormat="1" ht="18.75" hidden="1" customHeight="1">
      <c r="A29" s="106"/>
      <c r="B29" s="106"/>
      <c r="C29" s="106"/>
      <c r="D29" s="106"/>
      <c r="E29" s="106"/>
      <c r="F29" s="106"/>
      <c r="G29" s="106"/>
      <c r="H29" s="106"/>
      <c r="I29" s="106"/>
      <c r="J29" s="106"/>
      <c r="K29" s="106"/>
      <c r="L29" s="337"/>
      <c r="M29" s="106"/>
      <c r="N29" s="106"/>
      <c r="O29" s="106"/>
      <c r="P29" s="151"/>
      <c r="Q29" s="151"/>
      <c r="S29" s="556" t="s">
        <v>424</v>
      </c>
      <c r="T29" s="556"/>
      <c r="U29" s="557"/>
      <c r="V29" s="558" t="str">
        <f>IF(TITLE_NUMBER_PR_CHANGE="",IF(TITLE_NUMBER_PR="","",TITLE_NUMBER_PR),TITLE_NUMBER_PR_CHANGE)</f>
        <v>ПГ/01/950</v>
      </c>
      <c r="W29" s="558"/>
      <c r="X29" s="558"/>
      <c r="Y29" s="558"/>
      <c r="Z29" s="558"/>
      <c r="AA29" s="50"/>
      <c r="AB29" s="50"/>
      <c r="AC29" s="558"/>
      <c r="AD29" s="558"/>
      <c r="AE29" s="558"/>
      <c r="AF29" s="558"/>
      <c r="AG29" s="558"/>
      <c r="AH29" s="558"/>
      <c r="AI29" s="50"/>
      <c r="AJ29" s="50"/>
      <c r="AK29" s="559"/>
      <c r="AL29" s="129"/>
      <c r="AM29" s="129"/>
      <c r="AN29" s="129"/>
      <c r="AO29" s="129"/>
      <c r="AP29" s="129"/>
      <c r="AQ29" s="184">
        <v>0</v>
      </c>
    </row>
    <row r="30" s="184" customFormat="1" ht="18.75" hidden="1" customHeight="1">
      <c r="A30" s="106"/>
      <c r="B30" s="106"/>
      <c r="C30" s="106"/>
      <c r="D30" s="106"/>
      <c r="E30" s="106"/>
      <c r="F30" s="106"/>
      <c r="G30" s="106"/>
      <c r="H30" s="106"/>
      <c r="I30" s="106"/>
      <c r="J30" s="106"/>
      <c r="K30" s="106"/>
      <c r="L30" s="337"/>
      <c r="M30" s="106"/>
      <c r="N30" s="106"/>
      <c r="O30" s="106"/>
      <c r="P30" s="151"/>
      <c r="Q30" s="151"/>
      <c r="S30" s="556" t="s">
        <v>43</v>
      </c>
      <c r="T30" s="556"/>
      <c r="U30" s="557"/>
      <c r="V30" s="558" t="str">
        <f>IF(TITLE_IST_PUB_CHANGE="",IF(TITLE_IST_PUB="","",TITLE_IST_PUB),TITLE_IST_PUB_CHANGE)</f>
        <v/>
      </c>
      <c r="W30" s="558"/>
      <c r="X30" s="558"/>
      <c r="Y30" s="558"/>
      <c r="Z30" s="558"/>
      <c r="AA30" s="50"/>
      <c r="AB30" s="50"/>
      <c r="AC30" s="558"/>
      <c r="AD30" s="558"/>
      <c r="AE30" s="558"/>
      <c r="AF30" s="558"/>
      <c r="AG30" s="558"/>
      <c r="AH30" s="558"/>
      <c r="AI30" s="50"/>
      <c r="AJ30" s="50"/>
      <c r="AK30" s="559"/>
      <c r="AL30" s="129"/>
      <c r="AM30" s="129"/>
      <c r="AN30" s="129"/>
      <c r="AO30" s="129"/>
      <c r="AP30" s="129"/>
      <c r="AQ30" s="184">
        <v>0</v>
      </c>
    </row>
    <row r="31" ht="14.25" hidden="1" customHeight="1">
      <c r="Q31" s="672"/>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hidden="1" customHeight="1">
      <c r="A32" s="106"/>
      <c r="B32" s="106"/>
      <c r="C32" s="106"/>
      <c r="D32" s="106"/>
      <c r="E32" s="106"/>
      <c r="F32" s="106"/>
      <c r="G32" s="106"/>
      <c r="H32" s="106"/>
      <c r="I32" s="106"/>
      <c r="J32" s="106"/>
      <c r="K32" s="106"/>
      <c r="L32" s="337"/>
      <c r="M32" s="106"/>
      <c r="N32" s="106"/>
      <c r="O32" s="106"/>
      <c r="P32" s="151"/>
      <c r="Q32" s="151"/>
      <c r="S32" s="556" t="s">
        <v>423</v>
      </c>
      <c r="T32" s="556"/>
      <c r="U32" s="557"/>
      <c r="V32" s="560" t="str">
        <f>IF(TITLE_DATE_PR_CHANGE="",IF(TITLE_DATE_PR="","",TITLE_DATE_PR),TITLE_DATE_PR_CHANGE)</f>
        <v>45406</v>
      </c>
      <c r="W32" s="560"/>
      <c r="X32" s="560"/>
      <c r="Y32" s="560"/>
      <c r="Z32" s="560"/>
      <c r="AA32" s="50"/>
      <c r="AB32" s="50"/>
      <c r="AC32" s="560"/>
      <c r="AD32" s="560"/>
      <c r="AE32" s="560"/>
      <c r="AF32" s="560"/>
      <c r="AG32" s="560"/>
      <c r="AH32" s="560"/>
      <c r="AI32" s="50"/>
      <c r="AJ32" s="50"/>
      <c r="AK32" s="559"/>
      <c r="AL32" s="129"/>
      <c r="AM32" s="129"/>
      <c r="AN32" s="129"/>
      <c r="AO32" s="129"/>
      <c r="AP32" s="129"/>
      <c r="AQ32" s="184">
        <v>0</v>
      </c>
    </row>
    <row r="33" s="184" customFormat="1" ht="18" hidden="1" customHeight="1">
      <c r="A33" s="106"/>
      <c r="B33" s="106"/>
      <c r="C33" s="106"/>
      <c r="D33" s="106"/>
      <c r="E33" s="106"/>
      <c r="F33" s="106"/>
      <c r="G33" s="106"/>
      <c r="H33" s="106"/>
      <c r="I33" s="106"/>
      <c r="J33" s="106"/>
      <c r="K33" s="106"/>
      <c r="L33" s="337"/>
      <c r="M33" s="106"/>
      <c r="N33" s="106"/>
      <c r="O33" s="106"/>
      <c r="P33" s="151"/>
      <c r="Q33" s="151"/>
      <c r="S33" s="556" t="s">
        <v>424</v>
      </c>
      <c r="T33" s="556"/>
      <c r="U33" s="557"/>
      <c r="V33" s="558" t="str">
        <f>IF(TITLE_NUMBER_PR_CHANGE="",IF(TITLE_NUMBER_PR="","",TITLE_NUMBER_PR),TITLE_NUMBER_PR_CHANGE)</f>
        <v>ПГ/01/950</v>
      </c>
      <c r="W33" s="558"/>
      <c r="X33" s="558"/>
      <c r="Y33" s="558"/>
      <c r="Z33" s="558"/>
      <c r="AA33" s="50"/>
      <c r="AB33" s="50"/>
      <c r="AC33" s="558"/>
      <c r="AD33" s="558"/>
      <c r="AE33" s="558"/>
      <c r="AF33" s="558"/>
      <c r="AG33" s="558"/>
      <c r="AH33" s="558"/>
      <c r="AI33" s="50"/>
      <c r="AJ33" s="50"/>
      <c r="AK33" s="559"/>
      <c r="AL33" s="129"/>
      <c r="AM33" s="129"/>
      <c r="AN33" s="129"/>
      <c r="AO33" s="129"/>
      <c r="AP33" s="129"/>
      <c r="AQ33" s="184">
        <v>0</v>
      </c>
    </row>
    <row r="34" s="184" customFormat="1" ht="1.05" customHeight="1">
      <c r="A34" s="106"/>
      <c r="B34" s="106"/>
      <c r="C34" s="106"/>
      <c r="D34" s="106"/>
      <c r="E34" s="106"/>
      <c r="F34" s="106"/>
      <c r="G34" s="106"/>
      <c r="H34" s="106"/>
      <c r="I34" s="106"/>
      <c r="J34" s="106"/>
      <c r="K34" s="106"/>
      <c r="L34" s="337"/>
      <c r="M34" s="106"/>
      <c r="N34" s="106"/>
      <c r="O34" s="106"/>
      <c r="P34" s="151"/>
      <c r="Q34" s="151"/>
      <c r="S34" s="50"/>
      <c r="T34" s="50"/>
      <c r="U34" s="140"/>
      <c r="V34" s="50"/>
      <c r="W34" s="50"/>
      <c r="X34" s="50"/>
      <c r="Y34" s="50"/>
      <c r="Z34" s="50"/>
      <c r="AA34" s="57" t="s">
        <v>427</v>
      </c>
      <c r="AB34" s="57"/>
      <c r="AC34" s="50"/>
      <c r="AD34" s="50"/>
      <c r="AE34" s="50"/>
      <c r="AF34" s="50"/>
      <c r="AG34" s="50"/>
      <c r="AH34" s="50"/>
      <c r="AI34" s="57" t="s">
        <v>427</v>
      </c>
      <c r="AL34" s="129"/>
      <c r="AM34" s="129"/>
      <c r="AN34" s="129"/>
      <c r="AO34" s="129"/>
      <c r="AP34" s="129"/>
      <c r="AQ34" s="184">
        <v>1</v>
      </c>
    </row>
    <row r="35" ht="14.65" customHeight="1">
      <c r="Q35" s="672"/>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672"/>
      <c r="R36" s="553"/>
      <c r="S36" s="157" t="s">
        <v>302</v>
      </c>
      <c r="T36" s="157"/>
      <c r="U36" s="157"/>
      <c r="V36" s="157"/>
      <c r="W36" s="157"/>
      <c r="X36" s="157"/>
      <c r="Y36" s="157"/>
      <c r="Z36" s="157"/>
      <c r="AA36" s="324"/>
      <c r="AB36" s="324"/>
      <c r="AC36" s="324"/>
      <c r="AD36" s="157"/>
      <c r="AE36" s="157"/>
      <c r="AF36" s="157"/>
      <c r="AG36" s="157"/>
      <c r="AH36" s="157"/>
      <c r="AI36" s="157"/>
      <c r="AJ36" s="157"/>
      <c r="AK36" s="157" t="s">
        <v>303</v>
      </c>
      <c r="AQ36" s="50">
        <v>14</v>
      </c>
    </row>
    <row r="37" ht="14.65" customHeight="1">
      <c r="Q37" s="672"/>
      <c r="R37" s="553"/>
      <c r="S37" s="498" t="s">
        <v>88</v>
      </c>
      <c r="T37" s="362" t="s">
        <v>501</v>
      </c>
      <c r="U37" s="563"/>
      <c r="V37" s="565"/>
      <c r="W37" s="565"/>
      <c r="X37" s="565"/>
      <c r="Y37" s="565"/>
      <c r="Z37" s="565"/>
      <c r="AA37" s="362" t="s">
        <v>430</v>
      </c>
      <c r="AB37" s="361" t="s">
        <v>502</v>
      </c>
      <c r="AC37" s="361" t="s">
        <v>473</v>
      </c>
      <c r="AD37" s="598" t="s">
        <v>429</v>
      </c>
      <c r="AE37" s="598"/>
      <c r="AF37" s="565"/>
      <c r="AG37" s="565"/>
      <c r="AH37" s="566"/>
      <c r="AI37" s="567" t="s">
        <v>430</v>
      </c>
      <c r="AJ37" s="568" t="s">
        <v>432</v>
      </c>
      <c r="AK37" s="157"/>
      <c r="AQ37" s="50">
        <v>14</v>
      </c>
    </row>
    <row r="38" ht="35.649999999999999" customHeight="1">
      <c r="Q38" s="672"/>
      <c r="R38" s="553"/>
      <c r="S38" s="498"/>
      <c r="T38" s="362"/>
      <c r="U38" s="569"/>
      <c r="V38" s="72" t="s">
        <v>476</v>
      </c>
      <c r="W38" s="157"/>
      <c r="X38" s="321" t="s">
        <v>436</v>
      </c>
      <c r="Y38" s="640"/>
      <c r="Z38" s="640"/>
      <c r="AA38" s="362"/>
      <c r="AB38" s="361"/>
      <c r="AC38" s="361"/>
      <c r="AD38" s="72" t="s">
        <v>476</v>
      </c>
      <c r="AE38" s="157"/>
      <c r="AF38" s="640" t="s">
        <v>436</v>
      </c>
      <c r="AG38" s="640"/>
      <c r="AH38" s="322"/>
      <c r="AI38" s="571"/>
      <c r="AJ38" s="572"/>
      <c r="AK38" s="157"/>
      <c r="AQ38" s="50">
        <v>34</v>
      </c>
    </row>
    <row r="39" ht="14.65" customHeight="1">
      <c r="Q39" s="672"/>
      <c r="R39" s="553"/>
      <c r="S39" s="498"/>
      <c r="T39" s="362"/>
      <c r="U39" s="569"/>
      <c r="V39" s="680" t="str">
        <f>IF($AD$39&lt;&gt;"",$AD$39,"")</f>
        <v/>
      </c>
      <c r="W39" s="680"/>
      <c r="X39" s="327"/>
      <c r="Y39" s="641"/>
      <c r="Z39" s="641"/>
      <c r="AA39" s="362"/>
      <c r="AB39" s="361"/>
      <c r="AC39" s="361"/>
      <c r="AD39" s="749"/>
      <c r="AE39" s="681"/>
      <c r="AF39" s="641"/>
      <c r="AG39" s="641"/>
      <c r="AH39" s="328"/>
      <c r="AI39" s="571"/>
      <c r="AJ39" s="572"/>
      <c r="AK39" s="157"/>
      <c r="AQ39" s="50">
        <v>14</v>
      </c>
    </row>
    <row r="40" ht="14.65" customHeight="1">
      <c r="A40" s="106"/>
      <c r="B40" s="106" t="s">
        <v>135</v>
      </c>
      <c r="C40" s="106" t="s">
        <v>136</v>
      </c>
      <c r="D40" s="106" t="s">
        <v>137</v>
      </c>
      <c r="E40" s="337" t="s">
        <v>437</v>
      </c>
      <c r="F40" s="337" t="s">
        <v>438</v>
      </c>
      <c r="G40" s="337" t="s">
        <v>439</v>
      </c>
      <c r="H40" s="337" t="s">
        <v>440</v>
      </c>
      <c r="I40" s="337" t="s">
        <v>441</v>
      </c>
      <c r="J40" s="337" t="s">
        <v>442</v>
      </c>
      <c r="K40" s="337" t="s">
        <v>443</v>
      </c>
      <c r="L40" s="337" t="s">
        <v>418</v>
      </c>
      <c r="Q40" s="672"/>
      <c r="R40" s="553"/>
      <c r="S40" s="498"/>
      <c r="T40" s="362"/>
      <c r="U40" s="573"/>
      <c r="V40" s="362" t="s">
        <v>477</v>
      </c>
      <c r="W40" s="362" t="s">
        <v>478</v>
      </c>
      <c r="X40" s="246" t="s">
        <v>446</v>
      </c>
      <c r="Y40" s="429" t="s">
        <v>447</v>
      </c>
      <c r="Z40" s="430"/>
      <c r="AA40" s="362"/>
      <c r="AB40" s="361"/>
      <c r="AC40" s="361"/>
      <c r="AD40" s="750" t="s">
        <v>477</v>
      </c>
      <c r="AE40" s="575" t="s">
        <v>478</v>
      </c>
      <c r="AF40" s="246" t="s">
        <v>446</v>
      </c>
      <c r="AG40" s="429" t="s">
        <v>447</v>
      </c>
      <c r="AH40" s="431"/>
      <c r="AI40" s="575"/>
      <c r="AJ40" s="576"/>
      <c r="AK40" s="157"/>
      <c r="AQ40" s="50">
        <v>14</v>
      </c>
    </row>
    <row r="41" s="131" customFormat="1" ht="11.25" hidden="1" customHeight="1">
      <c r="A41" s="106"/>
      <c r="B41" s="106"/>
      <c r="C41" s="106"/>
      <c r="D41" s="106"/>
      <c r="E41" s="106"/>
      <c r="F41" s="106"/>
      <c r="G41" s="106"/>
      <c r="H41" s="106"/>
      <c r="I41" s="106"/>
      <c r="J41" s="106"/>
      <c r="K41" s="106"/>
      <c r="L41" s="337"/>
      <c r="M41" s="60"/>
      <c r="N41" s="60"/>
      <c r="O41" s="60"/>
      <c r="P41" s="610"/>
      <c r="Q41" s="579"/>
      <c r="R41" s="579">
        <v>1</v>
      </c>
      <c r="S41" s="580" t="s">
        <v>109</v>
      </c>
      <c r="T41" s="581" t="s">
        <v>110</v>
      </c>
      <c r="U41" s="582" t="str">
        <f ca="1">OFFSET(U41,0,-1)</f>
        <v>2</v>
      </c>
      <c r="V41" s="583">
        <f ca="1">OFFSET(V41,0,-1)+1</f>
        <v>3</v>
      </c>
      <c r="W41" s="583">
        <f ca="1">OFFSET(W41,0,-1)+1</f>
        <v>4</v>
      </c>
      <c r="X41" s="583">
        <f ca="1">OFFSET(X41,0,-1)+1</f>
        <v>5</v>
      </c>
      <c r="Y41" s="583">
        <f ca="1">OFFSET(Y41,0,-1)+1</f>
        <v>6</v>
      </c>
      <c r="Z41" s="583"/>
      <c r="AA41" s="440">
        <f ca="1">OFFSET(AA41,0,-2)+1</f>
        <v>7</v>
      </c>
      <c r="AB41" s="440"/>
      <c r="AC41" s="440"/>
      <c r="AD41" s="583">
        <f ca="1">OFFSET(AD41,0,-1)+1</f>
        <v>1</v>
      </c>
      <c r="AE41" s="583">
        <f ca="1">OFFSET(AE41,0,-1)+1</f>
        <v>2</v>
      </c>
      <c r="AF41" s="583">
        <f ca="1">OFFSET(AF41,0,-1)+1</f>
        <v>3</v>
      </c>
      <c r="AG41" s="583">
        <f ca="1">OFFSET(AG41,0,-1)+1</f>
        <v>4</v>
      </c>
      <c r="AH41" s="583"/>
      <c r="AI41" s="583">
        <f ca="1">OFFSET(AI41,0,-2)+1</f>
        <v>5</v>
      </c>
      <c r="AJ41" s="582">
        <f ca="1">OFFSET(AJ41,0,-1)</f>
        <v>5</v>
      </c>
      <c r="AK41" s="583">
        <f ca="1">OFFSET(AK41,0,-1)+1</f>
        <v>6</v>
      </c>
      <c r="AL41" s="57"/>
      <c r="AM41" s="57"/>
      <c r="AN41" s="57"/>
      <c r="AO41" s="57"/>
      <c r="AP41" s="57"/>
      <c r="AQ41" s="131">
        <v>0</v>
      </c>
    </row>
    <row r="42" ht="107.25" customHeight="1">
      <c r="A42" s="264" t="s">
        <v>203</v>
      </c>
      <c r="B42" s="264"/>
      <c r="C42" s="264"/>
      <c r="D42" s="264"/>
      <c r="E42" s="589">
        <v>1</v>
      </c>
      <c r="F42" s="264"/>
      <c r="G42" s="264"/>
      <c r="H42" s="264"/>
      <c r="I42" s="264"/>
      <c r="J42" s="264"/>
      <c r="K42" s="264"/>
      <c r="L42" s="337"/>
      <c r="M42" s="86"/>
      <c r="N42" s="86"/>
      <c r="O42" s="86"/>
      <c r="P42" s="61"/>
      <c r="Q42" s="64"/>
      <c r="R42" s="497"/>
      <c r="S42" s="498">
        <f>INDEX(PT_DIFFERENTIATION_NUM_NTAR,MATCH(A42,PT_DIFFERENTIATION_NTAR_ID,0))</f>
        <v>0</v>
      </c>
      <c r="T42" s="499" t="s">
        <v>123</v>
      </c>
      <c r="U42" s="500"/>
      <c r="V42" s="502"/>
      <c r="W42" s="502"/>
      <c r="X42" s="502"/>
      <c r="Y42" s="502"/>
      <c r="Z42" s="502"/>
      <c r="AA42" s="503"/>
      <c r="AB42" s="502"/>
      <c r="AC42" s="502" t="str">
        <f>INDEX(PT_DIFFERENTIATION_NTAR,MATCH(A42,PT_DIFFERENTIATION_NTAR_ID,0))</f>
        <v/>
      </c>
      <c r="AD42" s="502"/>
      <c r="AE42" s="502"/>
      <c r="AF42" s="502"/>
      <c r="AG42" s="502"/>
      <c r="AH42" s="502"/>
      <c r="AI42" s="502"/>
      <c r="AJ42" s="503"/>
      <c r="AK42" s="5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29"/>
      <c r="AN42" s="129" t="str">
        <f t="shared" si="32"/>
        <v xml:space="preserve">Наименование тарифа</v>
      </c>
      <c r="AO42" s="129"/>
      <c r="AP42" s="129"/>
      <c r="AQ42" s="50">
        <v>102</v>
      </c>
    </row>
    <row r="43" ht="22" customHeight="1">
      <c r="A43" s="264" t="s">
        <v>203</v>
      </c>
      <c r="B43" s="264" t="s">
        <v>204</v>
      </c>
      <c r="C43" s="264"/>
      <c r="D43" s="264"/>
      <c r="E43" s="590"/>
      <c r="F43" s="589">
        <v>1</v>
      </c>
      <c r="G43" s="264"/>
      <c r="H43" s="264"/>
      <c r="I43" s="264"/>
      <c r="J43" s="264"/>
      <c r="K43" s="264"/>
      <c r="L43" s="337"/>
      <c r="M43" s="86"/>
      <c r="N43" s="86"/>
      <c r="O43" s="86"/>
      <c r="P43" s="113"/>
      <c r="Q43" s="643"/>
      <c r="R43" s="507"/>
      <c r="S43" s="498" t="str">
        <f>INDEX(PT_DIFFERENTIATION_NUM_TER,MATCH(B43,PT_DIFFERENTIATION_TER_ID,0))</f>
        <v>.</v>
      </c>
      <c r="T43" s="508" t="s">
        <v>399</v>
      </c>
      <c r="U43" s="500"/>
      <c r="V43" s="502"/>
      <c r="W43" s="502"/>
      <c r="X43" s="502"/>
      <c r="Y43" s="502"/>
      <c r="Z43" s="502"/>
      <c r="AA43" s="503"/>
      <c r="AB43" s="502"/>
      <c r="AC43" s="502" t="str">
        <f>INDEX(PT_DIFFERENTIATION_TER,MATCH(B43,PT_DIFFERENTIATION_TER_ID,0))</f>
        <v/>
      </c>
      <c r="AD43" s="502"/>
      <c r="AE43" s="502"/>
      <c r="AF43" s="502"/>
      <c r="AG43" s="502"/>
      <c r="AH43" s="502"/>
      <c r="AI43" s="502"/>
      <c r="AJ43" s="503"/>
      <c r="AK43" s="504" t="s">
        <v>400</v>
      </c>
      <c r="AM43" s="129"/>
      <c r="AN43" s="129" t="str">
        <f t="shared" si="32"/>
        <v xml:space="preserve">Территория действия тарифа</v>
      </c>
      <c r="AO43" s="129"/>
      <c r="AP43" s="129"/>
      <c r="AQ43" s="50">
        <v>21</v>
      </c>
    </row>
    <row r="44" ht="24" customHeight="1">
      <c r="A44" s="264" t="s">
        <v>203</v>
      </c>
      <c r="B44" s="264" t="s">
        <v>204</v>
      </c>
      <c r="C44" s="264" t="s">
        <v>205</v>
      </c>
      <c r="D44" s="264"/>
      <c r="E44" s="590"/>
      <c r="F44" s="590"/>
      <c r="G44" s="589">
        <v>1</v>
      </c>
      <c r="H44" s="264"/>
      <c r="I44" s="264"/>
      <c r="J44" s="264"/>
      <c r="K44" s="264"/>
      <c r="L44" s="337"/>
      <c r="M44" s="86"/>
      <c r="N44" s="86"/>
      <c r="O44" s="86"/>
      <c r="P44" s="135"/>
      <c r="Q44" s="643"/>
      <c r="R44" s="507"/>
      <c r="S44" s="498" t="str">
        <f>INDEX(PT_DIFFERENTIATION_NUM_CS,MATCH(C44,PT_DIFFERENTIATION_CS_ID,0))</f>
        <v>..</v>
      </c>
      <c r="T44" s="510" t="s">
        <v>401</v>
      </c>
      <c r="U44" s="500"/>
      <c r="V44" s="502"/>
      <c r="W44" s="502"/>
      <c r="X44" s="502"/>
      <c r="Y44" s="502"/>
      <c r="Z44" s="502"/>
      <c r="AA44" s="503"/>
      <c r="AB44" s="502"/>
      <c r="AC44" s="502" t="str">
        <f>INDEX(PT_DIFFERENTIATION_CS,MATCH(C44,PT_DIFFERENTIATION_CS_ID,0))</f>
        <v/>
      </c>
      <c r="AD44" s="502"/>
      <c r="AE44" s="502"/>
      <c r="AF44" s="502"/>
      <c r="AG44" s="502"/>
      <c r="AH44" s="502"/>
      <c r="AI44" s="502"/>
      <c r="AJ44" s="503"/>
      <c r="AK44" s="504" t="s">
        <v>402</v>
      </c>
      <c r="AM44" s="129"/>
      <c r="AN44" s="129" t="str">
        <f t="shared" si="32"/>
        <v xml:space="preserve">Наименование системы теплоснабжения</v>
      </c>
      <c r="AO44" s="129"/>
      <c r="AP44" s="129"/>
      <c r="AQ44" s="50">
        <v>23</v>
      </c>
    </row>
    <row r="45" ht="22" customHeight="1">
      <c r="A45" s="264" t="s">
        <v>203</v>
      </c>
      <c r="B45" s="264" t="s">
        <v>204</v>
      </c>
      <c r="C45" s="264" t="s">
        <v>205</v>
      </c>
      <c r="D45" s="264" t="s">
        <v>206</v>
      </c>
      <c r="E45" s="590"/>
      <c r="F45" s="590"/>
      <c r="G45" s="590"/>
      <c r="H45" s="589">
        <v>1</v>
      </c>
      <c r="I45" s="264"/>
      <c r="J45" s="264"/>
      <c r="K45" s="264"/>
      <c r="L45" s="337"/>
      <c r="M45" s="86"/>
      <c r="N45" s="86"/>
      <c r="O45" s="86"/>
      <c r="P45" s="135"/>
      <c r="Q45" s="643"/>
      <c r="R45" s="507"/>
      <c r="S45" s="498" t="str">
        <f>INDEX(PT_DIFFERENTIATION_NUM_IST_TE,MATCH(D45,PT_DIFFERENTIATION_IST_TE_ID,0))</f>
        <v>...</v>
      </c>
      <c r="T45" s="511" t="s">
        <v>403</v>
      </c>
      <c r="U45" s="500"/>
      <c r="V45" s="502"/>
      <c r="W45" s="502"/>
      <c r="X45" s="502"/>
      <c r="Y45" s="502"/>
      <c r="Z45" s="502"/>
      <c r="AA45" s="503"/>
      <c r="AB45" s="502"/>
      <c r="AC45" s="502" t="str">
        <f>INDEX(PT_DIFFERENTIATION_IST_TE,MATCH(D45,PT_DIFFERENTIATION_IST_TE_ID,0))</f>
        <v/>
      </c>
      <c r="AD45" s="502"/>
      <c r="AE45" s="502"/>
      <c r="AF45" s="502"/>
      <c r="AG45" s="502"/>
      <c r="AH45" s="502"/>
      <c r="AI45" s="502"/>
      <c r="AJ45" s="503"/>
      <c r="AK45" s="504" t="s">
        <v>404</v>
      </c>
      <c r="AM45" s="129"/>
      <c r="AN45" s="129" t="str">
        <f t="shared" si="32"/>
        <v xml:space="preserve">Источник тепловой энергии</v>
      </c>
      <c r="AO45" s="129"/>
      <c r="AP45" s="129"/>
      <c r="AQ45" s="50">
        <v>21</v>
      </c>
    </row>
    <row r="46" s="57" customFormat="1" ht="0" customHeight="1">
      <c r="A46" s="591" t="s">
        <v>203</v>
      </c>
      <c r="B46" s="591" t="s">
        <v>204</v>
      </c>
      <c r="C46" s="591" t="s">
        <v>205</v>
      </c>
      <c r="D46" s="591" t="s">
        <v>206</v>
      </c>
      <c r="E46" s="590"/>
      <c r="F46" s="590"/>
      <c r="G46" s="590"/>
      <c r="H46" s="590"/>
      <c r="I46" s="157" t="str">
        <f>S45&amp;".1"</f>
        <v>....1</v>
      </c>
      <c r="J46" s="591"/>
      <c r="K46" s="591"/>
      <c r="L46" s="592" t="s">
        <v>405</v>
      </c>
      <c r="M46" s="577"/>
      <c r="N46" s="577"/>
      <c r="O46" s="577"/>
      <c r="P46" s="132">
        <v>1</v>
      </c>
      <c r="Q46" s="132"/>
      <c r="R46" s="513"/>
      <c r="S46" s="366"/>
      <c r="T46" s="600"/>
      <c r="U46" s="601"/>
      <c r="V46" s="603"/>
      <c r="W46" s="603"/>
      <c r="X46" s="603"/>
      <c r="Y46" s="603"/>
      <c r="Z46" s="603"/>
      <c r="AA46" s="604"/>
      <c r="AB46" s="603"/>
      <c r="AC46" s="603"/>
      <c r="AD46" s="603"/>
      <c r="AE46" s="603"/>
      <c r="AF46" s="603"/>
      <c r="AG46" s="603"/>
      <c r="AH46" s="603"/>
      <c r="AI46" s="603"/>
      <c r="AJ46" s="604"/>
      <c r="AK46" s="605"/>
      <c r="AM46" s="129"/>
      <c r="AN46" s="129" t="str">
        <f t="shared" si="32"/>
        <v/>
      </c>
      <c r="AO46" s="129"/>
      <c r="AP46" s="129"/>
      <c r="AQ46" s="57">
        <v>0</v>
      </c>
    </row>
    <row r="47" s="57" customFormat="1" ht="0" customHeight="1">
      <c r="A47" s="591" t="s">
        <v>203</v>
      </c>
      <c r="B47" s="591" t="s">
        <v>204</v>
      </c>
      <c r="C47" s="591" t="s">
        <v>205</v>
      </c>
      <c r="D47" s="591" t="s">
        <v>206</v>
      </c>
      <c r="E47" s="590"/>
      <c r="F47" s="590"/>
      <c r="G47" s="590"/>
      <c r="H47" s="590"/>
      <c r="I47" s="73"/>
      <c r="J47" s="157" t="str">
        <f>S45&amp;".1"</f>
        <v>....1</v>
      </c>
      <c r="K47" s="591"/>
      <c r="L47" s="592"/>
      <c r="M47" s="577"/>
      <c r="N47" s="577"/>
      <c r="O47" s="577"/>
      <c r="P47" s="132"/>
      <c r="Q47" s="132">
        <v>1</v>
      </c>
      <c r="R47" s="518"/>
      <c r="S47" s="366"/>
      <c r="T47" s="644"/>
      <c r="U47" s="601"/>
      <c r="V47" s="603"/>
      <c r="W47" s="603"/>
      <c r="X47" s="603"/>
      <c r="Y47" s="603"/>
      <c r="Z47" s="603"/>
      <c r="AA47" s="604"/>
      <c r="AB47" s="603"/>
      <c r="AC47" s="603"/>
      <c r="AD47" s="603"/>
      <c r="AE47" s="603"/>
      <c r="AF47" s="603"/>
      <c r="AG47" s="603"/>
      <c r="AH47" s="603"/>
      <c r="AI47" s="603"/>
      <c r="AJ47" s="604"/>
      <c r="AK47" s="605"/>
      <c r="AM47" s="129"/>
      <c r="AN47" s="129" t="str">
        <f t="shared" si="32"/>
        <v/>
      </c>
      <c r="AO47" s="129"/>
      <c r="AP47" s="129"/>
      <c r="AQ47" s="57">
        <v>0</v>
      </c>
    </row>
    <row r="48" ht="22" customHeight="1">
      <c r="A48" s="264" t="s">
        <v>203</v>
      </c>
      <c r="B48" s="264" t="s">
        <v>204</v>
      </c>
      <c r="C48" s="264" t="s">
        <v>205</v>
      </c>
      <c r="D48" s="264" t="s">
        <v>206</v>
      </c>
      <c r="E48" s="590"/>
      <c r="F48" s="590"/>
      <c r="G48" s="590"/>
      <c r="H48" s="590"/>
      <c r="I48" s="73"/>
      <c r="J48" s="73"/>
      <c r="K48" s="157" t="str">
        <f>S45&amp;".1"</f>
        <v>....1</v>
      </c>
      <c r="L48" s="337"/>
      <c r="P48" s="132"/>
      <c r="Q48" s="132"/>
      <c r="R48" s="518">
        <v>1</v>
      </c>
      <c r="S48" s="612" t="str">
        <f>$K48</f>
        <v>....1</v>
      </c>
      <c r="T48" s="646"/>
      <c r="U48" s="500"/>
      <c r="V48" s="521"/>
      <c r="W48" s="523"/>
      <c r="X48" s="524"/>
      <c r="Y48" s="224" t="s">
        <v>66</v>
      </c>
      <c r="Z48" s="524"/>
      <c r="AA48" s="224" t="s">
        <v>66</v>
      </c>
      <c r="AB48" s="746"/>
      <c r="AC48" s="747" t="s">
        <v>28</v>
      </c>
      <c r="AD48" s="521"/>
      <c r="AE48" s="523"/>
      <c r="AF48" s="524"/>
      <c r="AG48" s="224" t="s">
        <v>66</v>
      </c>
      <c r="AH48" s="524"/>
      <c r="AI48" s="224" t="s">
        <v>66</v>
      </c>
      <c r="AJ48" s="585"/>
      <c r="AK48" s="525" t="s">
        <v>479</v>
      </c>
      <c r="AL48" s="57" t="e">
        <f>STRCHECKDATE(#REF!)</f>
        <v>#NAME?</v>
      </c>
      <c r="AM48" s="129"/>
      <c r="AN48" s="129" t="str">
        <f t="shared" si="32"/>
        <v/>
      </c>
      <c r="AO48" s="129"/>
      <c r="AP48" s="129"/>
      <c r="AQ48" s="50">
        <v>21</v>
      </c>
    </row>
    <row r="49" ht="11.5" customHeight="1">
      <c r="A49" s="264" t="s">
        <v>203</v>
      </c>
      <c r="B49" s="264" t="s">
        <v>204</v>
      </c>
      <c r="C49" s="264" t="s">
        <v>205</v>
      </c>
      <c r="D49" s="264" t="s">
        <v>206</v>
      </c>
      <c r="E49" s="590"/>
      <c r="F49" s="590"/>
      <c r="G49" s="590"/>
      <c r="H49" s="590"/>
      <c r="I49" s="73"/>
      <c r="J49" s="157"/>
      <c r="K49" s="264"/>
      <c r="L49" s="337"/>
      <c r="P49" s="132"/>
      <c r="Q49" s="132"/>
      <c r="R49" s="513"/>
      <c r="S49" s="529"/>
      <c r="T49" s="533" t="s">
        <v>467</v>
      </c>
      <c r="U49" s="214"/>
      <c r="V49" s="214"/>
      <c r="W49" s="214"/>
      <c r="X49" s="214"/>
      <c r="Y49" s="214"/>
      <c r="Z49" s="214"/>
      <c r="AA49" s="531"/>
      <c r="AB49" s="214"/>
      <c r="AC49" s="214"/>
      <c r="AD49" s="214"/>
      <c r="AE49" s="214"/>
      <c r="AF49" s="214"/>
      <c r="AG49" s="214"/>
      <c r="AH49" s="214"/>
      <c r="AI49" s="214"/>
      <c r="AJ49" s="531"/>
      <c r="AK49" s="532"/>
      <c r="AM49" s="129"/>
      <c r="AN49" s="129" t="str">
        <f t="shared" si="32"/>
        <v xml:space="preserve">Добавить строку</v>
      </c>
      <c r="AO49" s="129"/>
      <c r="AP49" s="129"/>
      <c r="AQ49" s="50">
        <v>11</v>
      </c>
    </row>
    <row r="50" s="57" customFormat="1" ht="1.05" customHeight="1">
      <c r="A50" s="591" t="s">
        <v>203</v>
      </c>
      <c r="B50" s="591" t="s">
        <v>204</v>
      </c>
      <c r="C50" s="591" t="s">
        <v>205</v>
      </c>
      <c r="D50" s="591" t="s">
        <v>206</v>
      </c>
      <c r="E50" s="590"/>
      <c r="F50" s="590"/>
      <c r="G50" s="590"/>
      <c r="H50" s="590"/>
      <c r="I50" s="157"/>
      <c r="J50" s="591"/>
      <c r="K50" s="591"/>
      <c r="L50" s="592"/>
      <c r="M50" s="577"/>
      <c r="N50" s="577"/>
      <c r="O50" s="577"/>
      <c r="P50" s="132"/>
      <c r="Q50" s="132"/>
      <c r="R50" s="513"/>
      <c r="S50" s="606"/>
      <c r="T50" s="607" t="s">
        <v>414</v>
      </c>
      <c r="U50" s="608"/>
      <c r="V50" s="608"/>
      <c r="W50" s="608"/>
      <c r="X50" s="608"/>
      <c r="Y50" s="608"/>
      <c r="Z50" s="608"/>
      <c r="AA50" s="608"/>
      <c r="AB50" s="608"/>
      <c r="AC50" s="608"/>
      <c r="AD50" s="608"/>
      <c r="AE50" s="608"/>
      <c r="AF50" s="608"/>
      <c r="AG50" s="608"/>
      <c r="AH50" s="608"/>
      <c r="AI50" s="608"/>
      <c r="AJ50" s="608"/>
      <c r="AK50" s="609"/>
      <c r="AM50" s="129"/>
      <c r="AN50" s="129" t="str">
        <f t="shared" si="32"/>
        <v xml:space="preserve">Добавить группу потребителей</v>
      </c>
      <c r="AO50" s="129"/>
      <c r="AP50" s="129"/>
      <c r="AQ50" s="57">
        <v>1</v>
      </c>
    </row>
    <row r="51" s="131" customFormat="1" ht="1.05" customHeight="1">
      <c r="A51" s="591" t="s">
        <v>203</v>
      </c>
      <c r="B51" s="591" t="s">
        <v>204</v>
      </c>
      <c r="C51" s="591" t="s">
        <v>205</v>
      </c>
      <c r="D51" s="591" t="s">
        <v>206</v>
      </c>
      <c r="E51" s="590"/>
      <c r="F51" s="590"/>
      <c r="G51" s="590"/>
      <c r="H51" s="589"/>
      <c r="I51" s="591"/>
      <c r="J51" s="591"/>
      <c r="K51" s="591"/>
      <c r="L51" s="592"/>
      <c r="M51" s="593"/>
      <c r="N51" s="593"/>
      <c r="O51" s="131"/>
      <c r="P51" s="167"/>
      <c r="Q51" s="538"/>
      <c r="R51" s="688"/>
      <c r="S51" s="606"/>
      <c r="T51" s="607"/>
      <c r="U51" s="608"/>
      <c r="V51" s="608"/>
      <c r="W51" s="608"/>
      <c r="X51" s="608"/>
      <c r="Y51" s="608"/>
      <c r="Z51" s="608"/>
      <c r="AA51" s="608"/>
      <c r="AB51" s="608"/>
      <c r="AC51" s="608"/>
      <c r="AD51" s="608"/>
      <c r="AE51" s="608"/>
      <c r="AF51" s="608"/>
      <c r="AG51" s="608"/>
      <c r="AH51" s="608"/>
      <c r="AI51" s="608"/>
      <c r="AJ51" s="608"/>
      <c r="AK51" s="609"/>
      <c r="AL51" s="57"/>
      <c r="AM51" s="129"/>
      <c r="AN51" s="129" t="str">
        <f t="shared" si="32"/>
        <v/>
      </c>
      <c r="AO51" s="129"/>
      <c r="AP51" s="129"/>
      <c r="AQ51" s="131">
        <v>1</v>
      </c>
    </row>
    <row r="52" s="57" customFormat="1" ht="1.05" customHeight="1">
      <c r="A52" s="591" t="s">
        <v>203</v>
      </c>
      <c r="B52" s="591" t="s">
        <v>204</v>
      </c>
      <c r="C52" s="591" t="s">
        <v>205</v>
      </c>
      <c r="D52" s="591"/>
      <c r="E52" s="590"/>
      <c r="F52" s="590"/>
      <c r="G52" s="589"/>
      <c r="H52" s="591"/>
      <c r="I52" s="591"/>
      <c r="J52" s="591"/>
      <c r="K52" s="591"/>
      <c r="L52" s="592"/>
      <c r="M52" s="593"/>
      <c r="N52" s="593"/>
      <c r="O52" s="131"/>
      <c r="P52" s="167"/>
      <c r="Q52" s="538"/>
      <c r="R52" s="167"/>
      <c r="S52" s="543"/>
      <c r="T52" s="546" t="s">
        <v>416</v>
      </c>
      <c r="U52" s="545"/>
      <c r="V52" s="545"/>
      <c r="W52" s="545"/>
      <c r="X52" s="545"/>
      <c r="Y52" s="545"/>
      <c r="Z52" s="545"/>
      <c r="AA52" s="545"/>
      <c r="AB52" s="545"/>
      <c r="AC52" s="545"/>
      <c r="AD52" s="545"/>
      <c r="AE52" s="545"/>
      <c r="AF52" s="545"/>
      <c r="AG52" s="545"/>
      <c r="AH52" s="545"/>
      <c r="AI52" s="545"/>
      <c r="AJ52" s="545"/>
      <c r="AK52" s="545"/>
      <c r="AM52" s="129"/>
      <c r="AN52" s="129" t="str">
        <f t="shared" si="32"/>
        <v xml:space="preserve">Добавить источник для дифференциации</v>
      </c>
      <c r="AO52" s="129"/>
      <c r="AP52" s="129"/>
      <c r="AQ52" s="57">
        <v>1</v>
      </c>
    </row>
    <row r="53" s="57" customFormat="1" ht="1.05" customHeight="1">
      <c r="A53" s="591" t="s">
        <v>203</v>
      </c>
      <c r="B53" s="591" t="s">
        <v>204</v>
      </c>
      <c r="C53" s="591"/>
      <c r="D53" s="591"/>
      <c r="E53" s="590"/>
      <c r="F53" s="589"/>
      <c r="G53" s="591"/>
      <c r="H53" s="591"/>
      <c r="I53" s="591"/>
      <c r="J53" s="591"/>
      <c r="K53" s="591"/>
      <c r="L53" s="592"/>
      <c r="M53" s="594"/>
      <c r="N53" s="594"/>
      <c r="O53" s="131"/>
      <c r="P53" s="167"/>
      <c r="Q53" s="538"/>
      <c r="R53" s="167"/>
      <c r="S53" s="543"/>
      <c r="T53" s="546" t="s">
        <v>238</v>
      </c>
      <c r="U53" s="545"/>
      <c r="V53" s="545"/>
      <c r="W53" s="545"/>
      <c r="X53" s="545"/>
      <c r="Y53" s="545"/>
      <c r="Z53" s="545"/>
      <c r="AA53" s="545"/>
      <c r="AB53" s="545"/>
      <c r="AC53" s="545"/>
      <c r="AD53" s="545"/>
      <c r="AE53" s="545"/>
      <c r="AF53" s="545"/>
      <c r="AG53" s="545"/>
      <c r="AH53" s="545"/>
      <c r="AI53" s="545"/>
      <c r="AJ53" s="545"/>
      <c r="AK53" s="545"/>
      <c r="AM53" s="129"/>
      <c r="AN53" s="129" t="str">
        <f t="shared" si="32"/>
        <v xml:space="preserve">Добавить централизованную систему для дифференциации</v>
      </c>
      <c r="AO53" s="129"/>
      <c r="AP53" s="129"/>
      <c r="AQ53" s="57">
        <v>1</v>
      </c>
    </row>
    <row r="54" s="57" customFormat="1" ht="1.05" customHeight="1">
      <c r="A54" s="591" t="s">
        <v>203</v>
      </c>
      <c r="B54" s="591"/>
      <c r="C54" s="591"/>
      <c r="D54" s="591"/>
      <c r="E54" s="590"/>
      <c r="F54" s="591"/>
      <c r="G54" s="591"/>
      <c r="H54" s="591"/>
      <c r="I54" s="591"/>
      <c r="J54" s="591"/>
      <c r="K54" s="591"/>
      <c r="L54" s="592"/>
      <c r="M54" s="594"/>
      <c r="N54" s="594"/>
      <c r="O54" s="131"/>
      <c r="P54" s="167"/>
      <c r="Q54" s="538"/>
      <c r="R54" s="167"/>
      <c r="S54" s="543"/>
      <c r="T54" s="546" t="s">
        <v>239</v>
      </c>
      <c r="U54" s="545"/>
      <c r="V54" s="545"/>
      <c r="W54" s="545"/>
      <c r="X54" s="545"/>
      <c r="Y54" s="545"/>
      <c r="Z54" s="545"/>
      <c r="AA54" s="545"/>
      <c r="AB54" s="545"/>
      <c r="AC54" s="545"/>
      <c r="AD54" s="545"/>
      <c r="AE54" s="545"/>
      <c r="AF54" s="545"/>
      <c r="AG54" s="545"/>
      <c r="AH54" s="545"/>
      <c r="AI54" s="545"/>
      <c r="AJ54" s="545"/>
      <c r="AK54" s="545"/>
      <c r="AM54" s="129"/>
      <c r="AN54" s="129" t="str">
        <f t="shared" si="32"/>
        <v xml:space="preserve">Добавить территорию для дифференциации</v>
      </c>
      <c r="AO54" s="129"/>
      <c r="AP54" s="129"/>
      <c r="AQ54" s="57">
        <v>1</v>
      </c>
    </row>
    <row r="55" s="57" customFormat="1" ht="1.05" customHeight="1">
      <c r="A55" s="591" t="s">
        <v>203</v>
      </c>
      <c r="B55" s="591"/>
      <c r="C55" s="591"/>
      <c r="D55" s="591"/>
      <c r="E55" s="589"/>
      <c r="F55" s="591"/>
      <c r="G55" s="591"/>
      <c r="H55" s="591"/>
      <c r="I55" s="591"/>
      <c r="J55" s="591"/>
      <c r="K55" s="591"/>
      <c r="L55" s="592"/>
      <c r="M55" s="594"/>
      <c r="N55" s="594"/>
      <c r="O55" s="131"/>
      <c r="P55" s="167"/>
      <c r="Q55" s="538"/>
      <c r="R55" s="167"/>
      <c r="S55" s="543"/>
      <c r="T55" s="546" t="s">
        <v>239</v>
      </c>
      <c r="U55" s="545"/>
      <c r="V55" s="545"/>
      <c r="W55" s="545"/>
      <c r="X55" s="545"/>
      <c r="Y55" s="545"/>
      <c r="Z55" s="545"/>
      <c r="AA55" s="545"/>
      <c r="AB55" s="545"/>
      <c r="AC55" s="545"/>
      <c r="AD55" s="545"/>
      <c r="AE55" s="545"/>
      <c r="AF55" s="545"/>
      <c r="AG55" s="545"/>
      <c r="AH55" s="545"/>
      <c r="AI55" s="545"/>
      <c r="AJ55" s="545"/>
      <c r="AK55" s="545"/>
      <c r="AM55" s="129"/>
      <c r="AN55" s="129" t="str">
        <f t="shared" si="32"/>
        <v xml:space="preserve">Добавить территорию для дифференциации</v>
      </c>
      <c r="AO55" s="129"/>
      <c r="AP55" s="129"/>
      <c r="AQ55" s="57">
        <v>1</v>
      </c>
    </row>
    <row r="56" s="57" customFormat="1" ht="1.05" customHeight="1">
      <c r="A56" s="591"/>
      <c r="B56" s="591"/>
      <c r="C56" s="591"/>
      <c r="D56" s="591"/>
      <c r="E56" s="591"/>
      <c r="F56" s="591"/>
      <c r="G56" s="591"/>
      <c r="H56" s="591"/>
      <c r="I56" s="591"/>
      <c r="J56" s="591"/>
      <c r="K56" s="591"/>
      <c r="L56" s="592"/>
      <c r="M56" s="594"/>
      <c r="N56" s="594"/>
      <c r="O56" s="131"/>
      <c r="P56" s="167"/>
      <c r="Q56" s="538"/>
      <c r="R56" s="167"/>
      <c r="S56" s="543"/>
      <c r="T56" s="546" t="s">
        <v>240</v>
      </c>
      <c r="U56" s="545"/>
      <c r="V56" s="545"/>
      <c r="W56" s="545"/>
      <c r="X56" s="545"/>
      <c r="Y56" s="545"/>
      <c r="Z56" s="545"/>
      <c r="AA56" s="545"/>
      <c r="AB56" s="545"/>
      <c r="AC56" s="545"/>
      <c r="AD56" s="545"/>
      <c r="AE56" s="545"/>
      <c r="AF56" s="545"/>
      <c r="AG56" s="545"/>
      <c r="AH56" s="545"/>
      <c r="AI56" s="545"/>
      <c r="AJ56" s="545"/>
      <c r="AK56" s="545"/>
      <c r="AM56" s="129"/>
      <c r="AN56" s="129" t="str">
        <f t="shared" si="32"/>
        <v xml:space="preserve">Добавить наименование тарифа</v>
      </c>
      <c r="AO56" s="129"/>
      <c r="AP56" s="129"/>
      <c r="AQ56" s="57">
        <v>1</v>
      </c>
    </row>
    <row r="57" ht="11.5" customHeight="1">
      <c r="M57" s="50"/>
      <c r="N57" s="50"/>
      <c r="O57" s="50"/>
      <c r="P57" s="53"/>
      <c r="Q57" s="53"/>
      <c r="R57" s="50"/>
      <c r="S57" s="50"/>
      <c r="AL57" s="50"/>
      <c r="AM57" s="50"/>
      <c r="AN57" s="50"/>
      <c r="AO57" s="50"/>
      <c r="AP57" s="50"/>
      <c r="AQ57" s="50">
        <v>11</v>
      </c>
    </row>
    <row r="58" ht="19.949999999999999" customHeight="1">
      <c r="O58" s="50"/>
      <c r="S58" s="490"/>
      <c r="T58" s="588"/>
      <c r="U58" s="588"/>
      <c r="V58" s="588"/>
      <c r="W58" s="588"/>
      <c r="X58" s="588"/>
      <c r="Y58" s="588"/>
      <c r="Z58" s="588"/>
      <c r="AA58" s="588"/>
      <c r="AB58" s="588"/>
      <c r="AC58" s="588"/>
      <c r="AD58" s="588"/>
      <c r="AE58" s="588"/>
      <c r="AF58" s="588"/>
      <c r="AG58" s="588"/>
      <c r="AH58" s="588"/>
      <c r="AI58" s="588"/>
      <c r="AJ58" s="588"/>
      <c r="AK58" s="588"/>
      <c r="AQ58" s="50">
        <v>19</v>
      </c>
    </row>
    <row r="59" ht="21" customHeight="1">
      <c r="O59" s="50"/>
      <c r="T59" s="588"/>
      <c r="U59" s="588"/>
      <c r="V59" s="588"/>
      <c r="W59" s="588"/>
      <c r="X59" s="588"/>
      <c r="Y59" s="588"/>
      <c r="Z59" s="588"/>
      <c r="AA59" s="588"/>
      <c r="AB59" s="588"/>
      <c r="AC59" s="588"/>
      <c r="AD59" s="588"/>
      <c r="AE59" s="588"/>
      <c r="AF59" s="588"/>
      <c r="AG59" s="588"/>
      <c r="AH59" s="588"/>
      <c r="AI59" s="588"/>
      <c r="AJ59" s="588"/>
      <c r="AK59" s="588"/>
      <c r="AQ59" s="50">
        <v>20</v>
      </c>
    </row>
    <row r="60" ht="14.65" customHeight="1">
      <c r="O60" s="50"/>
      <c r="T60" s="588"/>
      <c r="U60" s="588"/>
      <c r="V60" s="588"/>
      <c r="W60" s="588"/>
      <c r="X60" s="588"/>
      <c r="Y60" s="588"/>
      <c r="Z60" s="588"/>
      <c r="AA60" s="588"/>
      <c r="AB60" s="588"/>
      <c r="AC60" s="588"/>
      <c r="AD60" s="588"/>
      <c r="AE60" s="588"/>
      <c r="AF60" s="588"/>
      <c r="AG60" s="588"/>
      <c r="AH60" s="588"/>
      <c r="AI60" s="588"/>
      <c r="AJ60" s="588"/>
      <c r="AK60" s="588"/>
      <c r="AQ60" s="50">
        <v>14</v>
      </c>
    </row>
    <row r="61" ht="19.949999999999999" customHeight="1">
      <c r="O61" s="50"/>
      <c r="T61" s="588"/>
      <c r="U61" s="588"/>
      <c r="V61" s="588"/>
      <c r="W61" s="588"/>
      <c r="X61" s="588"/>
      <c r="Y61" s="588"/>
      <c r="Z61" s="588"/>
      <c r="AA61" s="588"/>
      <c r="AB61" s="588"/>
      <c r="AC61" s="588"/>
      <c r="AD61" s="588"/>
      <c r="AE61" s="588"/>
      <c r="AF61" s="588"/>
      <c r="AG61" s="588"/>
      <c r="AH61" s="588"/>
      <c r="AI61" s="588"/>
      <c r="AJ61" s="588"/>
      <c r="AK61" s="588"/>
      <c r="AQ61" s="50">
        <v>19</v>
      </c>
    </row>
    <row r="62" ht="16.800000000000001" customHeight="1">
      <c r="O62" s="50"/>
      <c r="T62" s="588"/>
      <c r="U62" s="588"/>
      <c r="V62" s="588"/>
      <c r="W62" s="588"/>
      <c r="X62" s="588"/>
      <c r="Y62" s="588"/>
      <c r="Z62" s="588"/>
      <c r="AA62" s="588"/>
      <c r="AB62" s="588"/>
      <c r="AC62" s="588"/>
      <c r="AD62" s="588"/>
      <c r="AE62" s="588"/>
      <c r="AF62" s="588"/>
      <c r="AG62" s="588"/>
      <c r="AH62" s="588"/>
      <c r="AI62" s="588"/>
      <c r="AJ62" s="588"/>
      <c r="AK62" s="588"/>
      <c r="AQ62" s="50">
        <v>16</v>
      </c>
    </row>
    <row r="63" ht="14.65" customHeight="1">
      <c r="O63" s="50"/>
      <c r="AQ63" s="50">
        <v>14</v>
      </c>
    </row>
    <row r="64" ht="22.5" hidden="1" customHeight="1">
      <c r="A64" s="50" t="s">
        <v>82</v>
      </c>
      <c r="B64" s="50">
        <v>0</v>
      </c>
      <c r="C64" s="50">
        <v>0</v>
      </c>
      <c r="D64" s="50">
        <v>0</v>
      </c>
      <c r="E64" s="50">
        <v>0</v>
      </c>
      <c r="F64" s="50">
        <v>0</v>
      </c>
      <c r="G64" s="50">
        <v>0</v>
      </c>
      <c r="H64" s="50">
        <v>0</v>
      </c>
      <c r="I64" s="50">
        <v>0</v>
      </c>
      <c r="J64" s="50">
        <v>0</v>
      </c>
      <c r="K64" s="50">
        <v>0</v>
      </c>
      <c r="L64" s="51">
        <v>0</v>
      </c>
      <c r="M64" s="60">
        <v>0</v>
      </c>
      <c r="N64" s="60">
        <v>0</v>
      </c>
      <c r="O64" s="60">
        <v>0</v>
      </c>
      <c r="P64" s="61">
        <v>3</v>
      </c>
      <c r="Q64" s="552">
        <v>3</v>
      </c>
      <c r="R64" s="492">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0" deleteRows="0" formatCells="1" formatColumns="1" formatRows="1" insertColumns="1" insertHyperlinks="1" insertRows="0" pivotTables="1" selectLockedCells="0" selectUnlockedCells="0" sheet="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isablePrompts="0">
    <dataValidation sqref="V39:W39" type="none" allowBlank="1" error="Выберите значение из списка" errorStyle="stop" errorTitle="Ошибка" imeMode="noControl" operator="between"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5400ED-00B2-47CF-A77F-00EE00C700CB}"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 xr:uid="{0037009D-0014-4C1E-A69E-00F4006F004E}"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9D0071-004E-4BD0-ADF0-009600B800E1}"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87008C-0049-46BC-9C10-0050008200D9}"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7C0034-002C-432D-A8AC-003E007B001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1E00F1-0012-483C-B87A-00750028009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2" width="3.7109375"/>
    <col customWidth="1" min="18" max="18" style="492"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3"/>
      <c r="B2" s="493"/>
      <c r="C2" s="493"/>
      <c r="D2" s="493"/>
      <c r="E2" s="494">
        <v>1</v>
      </c>
      <c r="F2" s="493"/>
      <c r="G2" s="493"/>
      <c r="H2" s="493"/>
      <c r="I2" s="493"/>
      <c r="J2" s="493"/>
      <c r="K2" s="493"/>
      <c r="L2" s="495"/>
      <c r="M2" s="496"/>
      <c r="N2" s="496"/>
      <c r="O2" s="496"/>
      <c r="P2" s="61"/>
      <c r="Q2" s="64"/>
      <c r="R2" s="497"/>
      <c r="S2" s="498" t="e">
        <f>INDEX(PT_DIFFERENTIATION_NUM_NTAR,MATCH(A2,PT_DIFFERENTIATION_NTAR_ID,0))</f>
        <v>#VALUE!</v>
      </c>
      <c r="T2" s="499" t="s">
        <v>123</v>
      </c>
      <c r="U2" s="500"/>
      <c r="V2" s="502"/>
      <c r="W2" s="502"/>
      <c r="X2" s="502"/>
      <c r="Y2" s="502"/>
      <c r="Z2" s="502"/>
      <c r="AA2" s="502"/>
      <c r="AB2" s="502"/>
      <c r="AC2" s="503"/>
      <c r="AD2" s="501" t="e">
        <f>INDEX(PT_DIFFERENTIATION_NTAR,MATCH(A2,PT_DIFFERENTIATION_NTAR_ID,0))</f>
        <v>#VALUE!</v>
      </c>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3"/>
      <c r="BC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33">IF(T2="","",T2)</f>
        <v xml:space="preserve">Наименование тарифа</v>
      </c>
      <c r="BG2" s="129"/>
      <c r="BH2" s="129"/>
      <c r="BI2" s="50">
        <v>0</v>
      </c>
    </row>
    <row r="3" ht="21" hidden="1" customHeight="1">
      <c r="A3" s="493"/>
      <c r="B3" s="493"/>
      <c r="C3" s="493"/>
      <c r="D3" s="493"/>
      <c r="E3" s="505"/>
      <c r="F3" s="494">
        <v>1</v>
      </c>
      <c r="G3" s="493"/>
      <c r="H3" s="493"/>
      <c r="I3" s="493"/>
      <c r="J3" s="493"/>
      <c r="K3" s="493"/>
      <c r="L3" s="495"/>
      <c r="M3" s="496"/>
      <c r="N3" s="496"/>
      <c r="O3" s="496"/>
      <c r="P3" s="113"/>
      <c r="Q3" s="643"/>
      <c r="R3" s="507"/>
      <c r="S3" s="498" t="e">
        <f>INDEX(PT_DIFFERENTIATION_NUM_TER,MATCH(B3,PT_DIFFERENTIATION_TER_ID,0))</f>
        <v>#VALUE!</v>
      </c>
      <c r="T3" s="508" t="s">
        <v>399</v>
      </c>
      <c r="U3" s="500"/>
      <c r="V3" s="502"/>
      <c r="W3" s="502"/>
      <c r="X3" s="502"/>
      <c r="Y3" s="502"/>
      <c r="Z3" s="502"/>
      <c r="AA3" s="502"/>
      <c r="AB3" s="502"/>
      <c r="AC3" s="503"/>
      <c r="AD3" s="501" t="e">
        <f>INDEX(PT_DIFFERENTIATION_TER,MATCH(B3,PT_DIFFERENTIATION_TER_ID,0))</f>
        <v>#VALUE!</v>
      </c>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3"/>
      <c r="BC3" s="504" t="s">
        <v>400</v>
      </c>
      <c r="BE3" s="129"/>
      <c r="BF3" s="129" t="str">
        <f t="shared" si="33"/>
        <v xml:space="preserve">Территория действия тарифа</v>
      </c>
      <c r="BG3" s="129"/>
      <c r="BH3" s="129"/>
      <c r="BI3" s="50">
        <v>0</v>
      </c>
    </row>
    <row r="4" ht="42" hidden="1" customHeight="1">
      <c r="A4" s="493"/>
      <c r="B4" s="493"/>
      <c r="C4" s="493"/>
      <c r="D4" s="493"/>
      <c r="E4" s="505"/>
      <c r="F4" s="505"/>
      <c r="G4" s="494">
        <v>1</v>
      </c>
      <c r="H4" s="493"/>
      <c r="I4" s="493"/>
      <c r="J4" s="493"/>
      <c r="K4" s="493"/>
      <c r="L4" s="495"/>
      <c r="M4" s="496"/>
      <c r="N4" s="496"/>
      <c r="O4" s="496"/>
      <c r="P4" s="135"/>
      <c r="Q4" s="643"/>
      <c r="R4" s="507"/>
      <c r="S4" s="498" t="e">
        <f>INDEX(PT_DIFFERENTIATION_NUM_CS,MATCH(C4,PT_DIFFERENTIATION_CS_ID,0))</f>
        <v>#VALUE!</v>
      </c>
      <c r="T4" s="510" t="s">
        <v>480</v>
      </c>
      <c r="U4" s="500"/>
      <c r="V4" s="502"/>
      <c r="W4" s="502"/>
      <c r="X4" s="502"/>
      <c r="Y4" s="502"/>
      <c r="Z4" s="502"/>
      <c r="AA4" s="502"/>
      <c r="AB4" s="502"/>
      <c r="AC4" s="503"/>
      <c r="AD4" s="501" t="e">
        <f>INDEX(PT_DIFFERENTIATION_CS,MATCH(C4,PT_DIFFERENTIATION_CS_ID,0))</f>
        <v>#VALUE!</v>
      </c>
      <c r="AE4" s="502"/>
      <c r="AF4" s="502"/>
      <c r="AG4" s="502"/>
      <c r="AH4" s="502"/>
      <c r="AI4" s="502"/>
      <c r="AJ4" s="502"/>
      <c r="AK4" s="502"/>
      <c r="AL4" s="502"/>
      <c r="AM4" s="502"/>
      <c r="AN4" s="502"/>
      <c r="AO4" s="502"/>
      <c r="AP4" s="502"/>
      <c r="AQ4" s="502"/>
      <c r="AR4" s="502"/>
      <c r="AS4" s="502"/>
      <c r="AT4" s="502"/>
      <c r="AU4" s="502"/>
      <c r="AV4" s="502"/>
      <c r="AW4" s="502"/>
      <c r="AX4" s="502"/>
      <c r="AY4" s="502"/>
      <c r="AZ4" s="502"/>
      <c r="BA4" s="502"/>
      <c r="BB4" s="503"/>
      <c r="BC4" s="504" t="s">
        <v>481</v>
      </c>
      <c r="BE4" s="129"/>
      <c r="BF4" s="129" t="str">
        <f t="shared" si="33"/>
        <v xml:space="preserve">Наименование централизованной системы холодного водоснабжения</v>
      </c>
      <c r="BG4" s="129"/>
      <c r="BH4" s="129"/>
      <c r="BI4" s="50">
        <v>0</v>
      </c>
    </row>
    <row r="5" s="57" customFormat="1" ht="14.25" hidden="1" customHeight="1">
      <c r="A5" s="133"/>
      <c r="B5" s="133"/>
      <c r="C5" s="133"/>
      <c r="D5" s="133"/>
      <c r="E5" s="505"/>
      <c r="F5" s="505"/>
      <c r="G5" s="505"/>
      <c r="H5" s="494">
        <v>1</v>
      </c>
      <c r="I5" s="133"/>
      <c r="J5" s="133"/>
      <c r="K5" s="133"/>
      <c r="L5" s="212"/>
      <c r="M5" s="478"/>
      <c r="N5" s="478"/>
      <c r="O5" s="478"/>
      <c r="P5" s="751"/>
      <c r="Q5" s="752"/>
      <c r="R5" s="518"/>
      <c r="S5" s="366"/>
      <c r="T5" s="753"/>
      <c r="U5" s="601"/>
      <c r="V5" s="603"/>
      <c r="W5" s="603"/>
      <c r="X5" s="603"/>
      <c r="Y5" s="603"/>
      <c r="Z5" s="603"/>
      <c r="AA5" s="603"/>
      <c r="AB5" s="603"/>
      <c r="AC5" s="604"/>
      <c r="AD5" s="602"/>
      <c r="AE5" s="603"/>
      <c r="AF5" s="603"/>
      <c r="AG5" s="603"/>
      <c r="AH5" s="603"/>
      <c r="AI5" s="603"/>
      <c r="AJ5" s="603"/>
      <c r="AK5" s="603"/>
      <c r="AL5" s="603"/>
      <c r="AM5" s="603"/>
      <c r="AN5" s="603"/>
      <c r="AO5" s="603"/>
      <c r="AP5" s="603"/>
      <c r="AQ5" s="603"/>
      <c r="AR5" s="603"/>
      <c r="AS5" s="603"/>
      <c r="AT5" s="603"/>
      <c r="AU5" s="603"/>
      <c r="AV5" s="603"/>
      <c r="AW5" s="603"/>
      <c r="AX5" s="603"/>
      <c r="AY5" s="603"/>
      <c r="AZ5" s="603"/>
      <c r="BA5" s="603"/>
      <c r="BB5" s="604"/>
      <c r="BC5" s="605" t="s">
        <v>404</v>
      </c>
      <c r="BE5" s="129"/>
      <c r="BF5" s="129" t="str">
        <f t="shared" si="33"/>
        <v/>
      </c>
      <c r="BG5" s="129"/>
      <c r="BH5" s="129"/>
      <c r="BI5" s="57">
        <v>0</v>
      </c>
    </row>
    <row r="6" s="57" customFormat="1" ht="14.25" hidden="1" customHeight="1">
      <c r="A6" s="133"/>
      <c r="B6" s="133"/>
      <c r="C6" s="133"/>
      <c r="D6" s="133"/>
      <c r="E6" s="505"/>
      <c r="F6" s="505"/>
      <c r="G6" s="505"/>
      <c r="H6" s="505"/>
      <c r="I6" s="512" t="str">
        <f>S5&amp;".1"</f>
        <v>.1</v>
      </c>
      <c r="J6" s="133"/>
      <c r="K6" s="133"/>
      <c r="L6" s="212" t="s">
        <v>405</v>
      </c>
      <c r="M6" s="610"/>
      <c r="N6" s="610"/>
      <c r="O6" s="610"/>
      <c r="P6" s="132">
        <v>1</v>
      </c>
      <c r="Q6" s="132"/>
      <c r="R6" s="513"/>
      <c r="S6" s="366"/>
      <c r="T6" s="600"/>
      <c r="U6" s="601"/>
      <c r="V6" s="603"/>
      <c r="W6" s="603"/>
      <c r="X6" s="603"/>
      <c r="Y6" s="603"/>
      <c r="Z6" s="603"/>
      <c r="AA6" s="603"/>
      <c r="AB6" s="603"/>
      <c r="AC6" s="604"/>
      <c r="AD6" s="602"/>
      <c r="AE6" s="603"/>
      <c r="AF6" s="603"/>
      <c r="AG6" s="603"/>
      <c r="AH6" s="603"/>
      <c r="AI6" s="603"/>
      <c r="AJ6" s="603"/>
      <c r="AK6" s="603"/>
      <c r="AL6" s="603"/>
      <c r="AM6" s="603"/>
      <c r="AN6" s="603"/>
      <c r="AO6" s="603"/>
      <c r="AP6" s="603"/>
      <c r="AQ6" s="603"/>
      <c r="AR6" s="603"/>
      <c r="AS6" s="603"/>
      <c r="AT6" s="603"/>
      <c r="AU6" s="603"/>
      <c r="AV6" s="603"/>
      <c r="AW6" s="603"/>
      <c r="AX6" s="603"/>
      <c r="AY6" s="603"/>
      <c r="AZ6" s="603"/>
      <c r="BA6" s="603"/>
      <c r="BB6" s="604"/>
      <c r="BC6" s="605"/>
      <c r="BE6" s="129"/>
      <c r="BF6" s="129" t="str">
        <f t="shared" si="33"/>
        <v/>
      </c>
      <c r="BG6" s="129"/>
      <c r="BH6" s="129"/>
      <c r="BI6" s="57">
        <v>0</v>
      </c>
    </row>
    <row r="7" s="57" customFormat="1" ht="14.25" hidden="1" customHeight="1">
      <c r="A7" s="133"/>
      <c r="B7" s="133"/>
      <c r="C7" s="133"/>
      <c r="D7" s="133"/>
      <c r="E7" s="505"/>
      <c r="F7" s="505"/>
      <c r="G7" s="505"/>
      <c r="H7" s="505"/>
      <c r="I7" s="517"/>
      <c r="J7" s="512" t="str">
        <f>S5&amp;".1"</f>
        <v>.1</v>
      </c>
      <c r="K7" s="133"/>
      <c r="L7" s="212"/>
      <c r="M7" s="610"/>
      <c r="N7" s="610"/>
      <c r="O7" s="610"/>
      <c r="P7" s="132"/>
      <c r="Q7" s="132">
        <v>1</v>
      </c>
      <c r="R7" s="518"/>
      <c r="S7" s="366"/>
      <c r="T7" s="644"/>
      <c r="U7" s="601"/>
      <c r="V7" s="603"/>
      <c r="W7" s="603"/>
      <c r="X7" s="603"/>
      <c r="Y7" s="603"/>
      <c r="Z7" s="603"/>
      <c r="AA7" s="603"/>
      <c r="AB7" s="603"/>
      <c r="AC7" s="604"/>
      <c r="AD7" s="602"/>
      <c r="AE7" s="603"/>
      <c r="AF7" s="603"/>
      <c r="AG7" s="603"/>
      <c r="AH7" s="603"/>
      <c r="AI7" s="603"/>
      <c r="AJ7" s="603"/>
      <c r="AK7" s="603"/>
      <c r="AL7" s="603"/>
      <c r="AM7" s="603"/>
      <c r="AN7" s="603"/>
      <c r="AO7" s="603"/>
      <c r="AP7" s="603"/>
      <c r="AQ7" s="603"/>
      <c r="AR7" s="603"/>
      <c r="AS7" s="603"/>
      <c r="AT7" s="603"/>
      <c r="AU7" s="603"/>
      <c r="AV7" s="603"/>
      <c r="AW7" s="603"/>
      <c r="AX7" s="603"/>
      <c r="AY7" s="603"/>
      <c r="AZ7" s="603"/>
      <c r="BA7" s="603"/>
      <c r="BB7" s="604"/>
      <c r="BC7" s="605"/>
      <c r="BE7" s="129"/>
      <c r="BF7" s="129" t="str">
        <f t="shared" si="33"/>
        <v/>
      </c>
      <c r="BG7" s="129"/>
      <c r="BH7" s="129"/>
      <c r="BI7" s="57">
        <v>0</v>
      </c>
    </row>
    <row r="8" ht="11.25" hidden="1" customHeight="1">
      <c r="A8" s="493"/>
      <c r="B8" s="493"/>
      <c r="C8" s="493"/>
      <c r="D8" s="493"/>
      <c r="E8" s="505"/>
      <c r="F8" s="505"/>
      <c r="G8" s="505"/>
      <c r="H8" s="505"/>
      <c r="I8" s="517"/>
      <c r="J8" s="517"/>
      <c r="K8" s="512" t="e">
        <f>S4&amp;".1"</f>
        <v>#VALUE!</v>
      </c>
      <c r="L8" s="495"/>
      <c r="P8" s="132"/>
      <c r="Q8" s="132"/>
      <c r="R8" s="645">
        <v>1</v>
      </c>
      <c r="S8" s="612" t="e">
        <f>$K8</f>
        <v>#VALUE!</v>
      </c>
      <c r="T8" s="746"/>
      <c r="U8" s="500"/>
      <c r="V8" s="521"/>
      <c r="W8" s="523"/>
      <c r="X8" s="521"/>
      <c r="Y8" s="523"/>
      <c r="Z8" s="524"/>
      <c r="AA8" s="224" t="s">
        <v>66</v>
      </c>
      <c r="AB8" s="524"/>
      <c r="AC8" s="224" t="s">
        <v>66</v>
      </c>
      <c r="AD8" s="296" t="s">
        <v>66</v>
      </c>
      <c r="AE8" s="647"/>
      <c r="AF8" s="360">
        <v>1</v>
      </c>
      <c r="AG8" s="747"/>
      <c r="AH8" s="224" t="s">
        <v>66</v>
      </c>
      <c r="AI8" s="647"/>
      <c r="AJ8" s="360">
        <v>1</v>
      </c>
      <c r="AK8" s="87" t="s">
        <v>28</v>
      </c>
      <c r="AL8" s="224" t="s">
        <v>66</v>
      </c>
      <c r="AM8" s="321"/>
      <c r="AN8" s="360">
        <v>1</v>
      </c>
      <c r="AO8" s="754"/>
      <c r="AP8" s="755" t="s">
        <v>66</v>
      </c>
      <c r="AQ8" s="648"/>
      <c r="AR8" s="360">
        <v>1</v>
      </c>
      <c r="AS8" s="95" t="s">
        <v>28</v>
      </c>
      <c r="AT8" s="521"/>
      <c r="AU8" s="523"/>
      <c r="AV8" s="521"/>
      <c r="AW8" s="523"/>
      <c r="AX8" s="524"/>
      <c r="AY8" s="224" t="s">
        <v>66</v>
      </c>
      <c r="AZ8" s="524"/>
      <c r="BA8" s="224" t="s">
        <v>66</v>
      </c>
      <c r="BB8" s="585"/>
      <c r="BC8" s="525" t="s">
        <v>503</v>
      </c>
      <c r="BE8" s="129"/>
      <c r="BF8" s="129" t="str">
        <f t="shared" si="33"/>
        <v/>
      </c>
      <c r="BG8" s="129"/>
      <c r="BH8" s="129"/>
      <c r="BI8" s="50">
        <v>0</v>
      </c>
    </row>
    <row r="9" ht="11.25" hidden="1" customHeight="1">
      <c r="A9" s="493"/>
      <c r="B9" s="493"/>
      <c r="C9" s="493"/>
      <c r="D9" s="493"/>
      <c r="E9" s="505"/>
      <c r="F9" s="505"/>
      <c r="G9" s="505"/>
      <c r="H9" s="505"/>
      <c r="I9" s="517"/>
      <c r="J9" s="517"/>
      <c r="K9" s="512"/>
      <c r="L9" s="495"/>
      <c r="P9" s="132"/>
      <c r="Q9" s="132"/>
      <c r="R9" s="645"/>
      <c r="S9" s="649"/>
      <c r="T9" s="756"/>
      <c r="U9" s="500"/>
      <c r="V9" s="636"/>
      <c r="W9" s="653"/>
      <c r="X9" s="636"/>
      <c r="Y9" s="653"/>
      <c r="Z9" s="636"/>
      <c r="AA9" s="636"/>
      <c r="AB9" s="636"/>
      <c r="AC9" s="636"/>
      <c r="AD9" s="301"/>
      <c r="AE9" s="647"/>
      <c r="AF9" s="360"/>
      <c r="AG9" s="747"/>
      <c r="AH9" s="224"/>
      <c r="AI9" s="647"/>
      <c r="AJ9" s="360"/>
      <c r="AK9" s="87"/>
      <c r="AL9" s="224"/>
      <c r="AM9" s="327"/>
      <c r="AN9" s="360"/>
      <c r="AO9" s="754"/>
      <c r="AP9" s="757"/>
      <c r="AQ9" s="652"/>
      <c r="AR9" s="177"/>
      <c r="AS9" s="177" t="s">
        <v>504</v>
      </c>
      <c r="AT9" s="636"/>
      <c r="AU9" s="653"/>
      <c r="AV9" s="636"/>
      <c r="AW9" s="653"/>
      <c r="AX9" s="636"/>
      <c r="AY9" s="636"/>
      <c r="AZ9" s="636"/>
      <c r="BA9" s="636"/>
      <c r="BB9" s="651"/>
      <c r="BC9" s="528"/>
      <c r="BE9" s="129"/>
      <c r="BF9" s="129"/>
      <c r="BG9" s="129"/>
      <c r="BH9" s="129"/>
      <c r="BI9" s="50">
        <v>0</v>
      </c>
    </row>
    <row r="10" ht="11.25" hidden="1" customHeight="1">
      <c r="A10" s="493"/>
      <c r="B10" s="493"/>
      <c r="C10" s="493"/>
      <c r="D10" s="493"/>
      <c r="E10" s="505"/>
      <c r="F10" s="505"/>
      <c r="G10" s="505"/>
      <c r="H10" s="505"/>
      <c r="I10" s="517"/>
      <c r="J10" s="517"/>
      <c r="K10" s="512"/>
      <c r="L10" s="495"/>
      <c r="P10" s="132"/>
      <c r="Q10" s="132"/>
      <c r="R10" s="645"/>
      <c r="S10" s="649"/>
      <c r="T10" s="756"/>
      <c r="U10" s="500"/>
      <c r="V10" s="636"/>
      <c r="W10" s="653"/>
      <c r="X10" s="636"/>
      <c r="Y10" s="653"/>
      <c r="Z10" s="636"/>
      <c r="AA10" s="636"/>
      <c r="AB10" s="636"/>
      <c r="AC10" s="636"/>
      <c r="AD10" s="301"/>
      <c r="AE10" s="647"/>
      <c r="AF10" s="360"/>
      <c r="AG10" s="747"/>
      <c r="AH10" s="224"/>
      <c r="AI10" s="647"/>
      <c r="AJ10" s="360"/>
      <c r="AK10" s="87"/>
      <c r="AL10" s="224"/>
      <c r="AM10" s="652"/>
      <c r="AN10" s="758"/>
      <c r="AO10" s="758" t="s">
        <v>505</v>
      </c>
      <c r="AP10" s="177"/>
      <c r="AQ10" s="177"/>
      <c r="AR10" s="177"/>
      <c r="AS10" s="636"/>
      <c r="AT10" s="636"/>
      <c r="AU10" s="653"/>
      <c r="AV10" s="636"/>
      <c r="AW10" s="653"/>
      <c r="AX10" s="636"/>
      <c r="AY10" s="636"/>
      <c r="AZ10" s="636"/>
      <c r="BA10" s="636"/>
      <c r="BB10" s="651"/>
      <c r="BC10" s="528"/>
      <c r="BE10" s="129"/>
      <c r="BF10" s="129"/>
      <c r="BG10" s="129"/>
      <c r="BH10" s="129"/>
      <c r="BI10" s="50">
        <v>0</v>
      </c>
    </row>
    <row r="11" ht="11.25" hidden="1" customHeight="1">
      <c r="A11" s="493"/>
      <c r="B11" s="493"/>
      <c r="C11" s="493"/>
      <c r="D11" s="493"/>
      <c r="E11" s="505"/>
      <c r="F11" s="505"/>
      <c r="G11" s="505"/>
      <c r="H11" s="505"/>
      <c r="I11" s="517"/>
      <c r="J11" s="517"/>
      <c r="K11" s="512"/>
      <c r="L11" s="495"/>
      <c r="P11" s="132"/>
      <c r="Q11" s="132"/>
      <c r="R11" s="645"/>
      <c r="S11" s="649"/>
      <c r="T11" s="756"/>
      <c r="U11" s="500"/>
      <c r="V11" s="636"/>
      <c r="W11" s="653"/>
      <c r="X11" s="636"/>
      <c r="Y11" s="653"/>
      <c r="Z11" s="636"/>
      <c r="AA11" s="636"/>
      <c r="AB11" s="636"/>
      <c r="AC11" s="636"/>
      <c r="AD11" s="301"/>
      <c r="AE11" s="647"/>
      <c r="AF11" s="360"/>
      <c r="AG11" s="747"/>
      <c r="AH11" s="224"/>
      <c r="AI11" s="655"/>
      <c r="AJ11" s="172"/>
      <c r="AK11" s="455" t="s">
        <v>506</v>
      </c>
      <c r="AL11" s="636"/>
      <c r="AM11" s="636"/>
      <c r="AN11" s="636"/>
      <c r="AO11" s="636"/>
      <c r="AP11" s="636"/>
      <c r="AQ11" s="636"/>
      <c r="AR11" s="636"/>
      <c r="AS11" s="636"/>
      <c r="AT11" s="636"/>
      <c r="AU11" s="653"/>
      <c r="AV11" s="636"/>
      <c r="AW11" s="653"/>
      <c r="AX11" s="636"/>
      <c r="AY11" s="636"/>
      <c r="AZ11" s="636"/>
      <c r="BA11" s="636"/>
      <c r="BB11" s="651"/>
      <c r="BC11" s="528"/>
      <c r="BE11" s="129"/>
      <c r="BF11" s="129"/>
      <c r="BG11" s="129"/>
      <c r="BH11" s="129"/>
      <c r="BI11" s="50">
        <v>0</v>
      </c>
    </row>
    <row r="12" ht="11.25" hidden="1" customHeight="1">
      <c r="A12" s="493"/>
      <c r="B12" s="493"/>
      <c r="C12" s="493"/>
      <c r="D12" s="493"/>
      <c r="E12" s="505"/>
      <c r="F12" s="505"/>
      <c r="G12" s="505"/>
      <c r="H12" s="505"/>
      <c r="I12" s="517"/>
      <c r="J12" s="517"/>
      <c r="K12" s="512"/>
      <c r="L12" s="495"/>
      <c r="P12" s="132"/>
      <c r="Q12" s="132"/>
      <c r="R12" s="645"/>
      <c r="S12" s="622"/>
      <c r="T12" s="759"/>
      <c r="U12" s="500"/>
      <c r="V12" s="636"/>
      <c r="W12" s="637" t="str">
        <f>Z8&amp;"-"&amp;AB8</f>
        <v>-</v>
      </c>
      <c r="X12" s="636"/>
      <c r="Y12" s="637" t="str">
        <f>AB8&amp;"-"&amp;AD8</f>
        <v>-да</v>
      </c>
      <c r="Z12" s="636"/>
      <c r="AA12" s="636"/>
      <c r="AB12" s="636"/>
      <c r="AC12" s="636"/>
      <c r="AD12" s="220"/>
      <c r="AE12" s="658"/>
      <c r="AF12" s="659"/>
      <c r="AG12" s="177" t="s">
        <v>507</v>
      </c>
      <c r="AH12" s="636"/>
      <c r="AI12" s="636"/>
      <c r="AJ12" s="636"/>
      <c r="AK12" s="636"/>
      <c r="AL12" s="636"/>
      <c r="AM12" s="636"/>
      <c r="AN12" s="636"/>
      <c r="AO12" s="636"/>
      <c r="AP12" s="636"/>
      <c r="AQ12" s="636"/>
      <c r="AR12" s="636"/>
      <c r="AS12" s="636"/>
      <c r="AT12" s="636"/>
      <c r="AU12" s="637" t="str">
        <f>AX8&amp;"-"&amp;AZ8</f>
        <v>-</v>
      </c>
      <c r="AV12" s="636"/>
      <c r="AW12" s="637" t="str">
        <f>AZ8&amp;"-"&amp;BB8</f>
        <v>-</v>
      </c>
      <c r="AX12" s="636"/>
      <c r="AY12" s="636"/>
      <c r="AZ12" s="636"/>
      <c r="BA12" s="636"/>
      <c r="BB12" s="657" t="str">
        <f>BE8&amp;"-"&amp;BG8</f>
        <v>-</v>
      </c>
      <c r="BC12" s="528"/>
      <c r="BE12" s="129"/>
      <c r="BF12" s="129" t="str">
        <f t="shared" ref="BF12:BF63" si="34">IF(T12="","",T12)</f>
        <v/>
      </c>
      <c r="BG12" s="129"/>
      <c r="BH12" s="129"/>
      <c r="BI12" s="50">
        <v>0</v>
      </c>
    </row>
    <row r="13" ht="11.25" hidden="1" customHeight="1">
      <c r="A13" s="493"/>
      <c r="B13" s="493"/>
      <c r="C13" s="493"/>
      <c r="D13" s="493"/>
      <c r="E13" s="505"/>
      <c r="F13" s="505"/>
      <c r="G13" s="505"/>
      <c r="H13" s="505"/>
      <c r="I13" s="517"/>
      <c r="J13" s="512"/>
      <c r="K13" s="493"/>
      <c r="L13" s="495"/>
      <c r="P13" s="132"/>
      <c r="Q13" s="132"/>
      <c r="R13" s="513"/>
      <c r="S13" s="529"/>
      <c r="T13" s="533" t="s">
        <v>467</v>
      </c>
      <c r="U13" s="214"/>
      <c r="V13" s="214"/>
      <c r="W13" s="214"/>
      <c r="X13" s="214"/>
      <c r="Y13" s="214"/>
      <c r="Z13" s="214"/>
      <c r="AA13" s="214"/>
      <c r="AB13" s="214"/>
      <c r="AC13" s="214"/>
      <c r="AD13" s="687"/>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31"/>
      <c r="BC13" s="532"/>
      <c r="BE13" s="129"/>
      <c r="BF13" s="129" t="str">
        <f t="shared" si="34"/>
        <v xml:space="preserve">Добавить строку</v>
      </c>
      <c r="BG13" s="129"/>
      <c r="BH13" s="129"/>
      <c r="BI13" s="50">
        <v>0</v>
      </c>
    </row>
    <row r="14" s="57" customFormat="1" ht="14.25" hidden="1" customHeight="1">
      <c r="A14" s="133"/>
      <c r="B14" s="133"/>
      <c r="C14" s="133"/>
      <c r="D14" s="133"/>
      <c r="E14" s="505"/>
      <c r="F14" s="505"/>
      <c r="G14" s="505"/>
      <c r="H14" s="505"/>
      <c r="I14" s="512"/>
      <c r="J14" s="133"/>
      <c r="K14" s="133"/>
      <c r="L14" s="212"/>
      <c r="M14" s="610"/>
      <c r="N14" s="610"/>
      <c r="O14" s="610"/>
      <c r="P14" s="132"/>
      <c r="Q14" s="132"/>
      <c r="R14" s="513"/>
      <c r="S14" s="606"/>
      <c r="T14" s="607"/>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8"/>
      <c r="AV14" s="608"/>
      <c r="AW14" s="608"/>
      <c r="AX14" s="608"/>
      <c r="AY14" s="608"/>
      <c r="AZ14" s="608"/>
      <c r="BA14" s="608"/>
      <c r="BB14" s="608"/>
      <c r="BC14" s="609"/>
      <c r="BE14" s="129"/>
      <c r="BF14" s="129" t="str">
        <f t="shared" si="34"/>
        <v/>
      </c>
      <c r="BG14" s="129"/>
      <c r="BH14" s="129"/>
      <c r="BI14" s="57">
        <v>0</v>
      </c>
    </row>
    <row r="15" s="57" customFormat="1" ht="14.25" hidden="1" customHeight="1">
      <c r="A15" s="133"/>
      <c r="B15" s="133"/>
      <c r="C15" s="133"/>
      <c r="D15" s="133"/>
      <c r="E15" s="505"/>
      <c r="F15" s="505"/>
      <c r="G15" s="505"/>
      <c r="H15" s="494"/>
      <c r="I15" s="133"/>
      <c r="J15" s="133"/>
      <c r="K15" s="133"/>
      <c r="L15" s="212"/>
      <c r="M15" s="478"/>
      <c r="N15" s="478"/>
      <c r="O15" s="57"/>
      <c r="P15" s="167"/>
      <c r="Q15" s="538"/>
      <c r="R15" s="660"/>
      <c r="S15" s="606"/>
      <c r="T15" s="607"/>
      <c r="U15" s="608"/>
      <c r="V15" s="608"/>
      <c r="W15" s="608"/>
      <c r="X15" s="608"/>
      <c r="Y15" s="608"/>
      <c r="Z15" s="608"/>
      <c r="AA15" s="608"/>
      <c r="AB15" s="608"/>
      <c r="AC15" s="608"/>
      <c r="AD15" s="608"/>
      <c r="AE15" s="608"/>
      <c r="AF15" s="608"/>
      <c r="AG15" s="608"/>
      <c r="AH15" s="608"/>
      <c r="AI15" s="608"/>
      <c r="AJ15" s="608"/>
      <c r="AK15" s="608"/>
      <c r="AL15" s="608"/>
      <c r="AM15" s="608"/>
      <c r="AN15" s="608"/>
      <c r="AO15" s="608"/>
      <c r="AP15" s="608"/>
      <c r="AQ15" s="608"/>
      <c r="AR15" s="608"/>
      <c r="AS15" s="608"/>
      <c r="AT15" s="608"/>
      <c r="AU15" s="608"/>
      <c r="AV15" s="608"/>
      <c r="AW15" s="608"/>
      <c r="AX15" s="608"/>
      <c r="AY15" s="608"/>
      <c r="AZ15" s="608"/>
      <c r="BA15" s="608"/>
      <c r="BB15" s="608"/>
      <c r="BC15" s="609"/>
      <c r="BE15" s="129"/>
      <c r="BF15" s="129" t="str">
        <f t="shared" si="34"/>
        <v/>
      </c>
      <c r="BG15" s="129"/>
      <c r="BH15" s="129"/>
      <c r="BI15" s="57">
        <v>0</v>
      </c>
    </row>
    <row r="16" s="57" customFormat="1" ht="14.25" hidden="1" customHeight="1">
      <c r="A16" s="133"/>
      <c r="B16" s="133"/>
      <c r="C16" s="133"/>
      <c r="D16" s="133"/>
      <c r="E16" s="505"/>
      <c r="F16" s="505"/>
      <c r="G16" s="494"/>
      <c r="H16" s="133"/>
      <c r="I16" s="133"/>
      <c r="J16" s="133"/>
      <c r="K16" s="133"/>
      <c r="L16" s="212"/>
      <c r="M16" s="478"/>
      <c r="N16" s="478"/>
      <c r="P16" s="167"/>
      <c r="Q16" s="538"/>
      <c r="R16" s="167"/>
      <c r="S16" s="543"/>
      <c r="T16" s="546"/>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5"/>
      <c r="AY16" s="545"/>
      <c r="AZ16" s="545"/>
      <c r="BA16" s="545"/>
      <c r="BB16" s="545"/>
      <c r="BC16" s="545"/>
      <c r="BE16" s="129"/>
      <c r="BF16" s="129" t="str">
        <f t="shared" si="34"/>
        <v/>
      </c>
      <c r="BG16" s="129"/>
      <c r="BH16" s="129"/>
      <c r="BI16" s="57">
        <v>0</v>
      </c>
    </row>
    <row r="17" s="57" customFormat="1" ht="14.25" hidden="1" customHeight="1">
      <c r="A17" s="133"/>
      <c r="B17" s="133"/>
      <c r="C17" s="133"/>
      <c r="D17" s="133"/>
      <c r="E17" s="505"/>
      <c r="F17" s="494"/>
      <c r="G17" s="133"/>
      <c r="H17" s="133"/>
      <c r="I17" s="133"/>
      <c r="J17" s="133"/>
      <c r="K17" s="133"/>
      <c r="L17" s="212"/>
      <c r="M17" s="542"/>
      <c r="N17" s="542"/>
      <c r="P17" s="167"/>
      <c r="Q17" s="538"/>
      <c r="R17" s="167"/>
      <c r="S17" s="543"/>
      <c r="T17" s="546" t="s">
        <v>238</v>
      </c>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E17" s="129"/>
      <c r="BF17" s="129" t="str">
        <f t="shared" si="34"/>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94"/>
      <c r="F18" s="133"/>
      <c r="G18" s="133"/>
      <c r="H18" s="133"/>
      <c r="I18" s="133"/>
      <c r="J18" s="133"/>
      <c r="K18" s="133"/>
      <c r="L18" s="212"/>
      <c r="M18" s="542"/>
      <c r="N18" s="542"/>
      <c r="O18" s="57"/>
      <c r="P18" s="167"/>
      <c r="Q18" s="538"/>
      <c r="R18" s="167"/>
      <c r="S18" s="543"/>
      <c r="T18" s="546" t="s">
        <v>239</v>
      </c>
      <c r="U18" s="545"/>
      <c r="V18" s="545"/>
      <c r="W18" s="545"/>
      <c r="X18" s="545"/>
      <c r="Y18" s="545"/>
      <c r="Z18" s="545"/>
      <c r="AA18" s="545"/>
      <c r="AB18" s="545"/>
      <c r="AC18" s="545"/>
      <c r="AD18" s="545"/>
      <c r="AE18" s="545"/>
      <c r="AF18" s="545"/>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E18" s="129"/>
      <c r="BF18" s="129" t="str">
        <f t="shared" si="34"/>
        <v xml:space="preserve">Добавить территорию для дифференциации</v>
      </c>
      <c r="BG18" s="129"/>
      <c r="BH18" s="129"/>
      <c r="BI18" s="57">
        <v>0</v>
      </c>
    </row>
    <row r="19" ht="14.25" hidden="1" customHeight="1">
      <c r="AC19" s="50"/>
      <c r="BA19" s="50"/>
      <c r="BI19" s="50">
        <v>0</v>
      </c>
    </row>
    <row r="20" ht="14.25" hidden="1" customHeight="1">
      <c r="AD20" s="545" t="s">
        <v>19</v>
      </c>
      <c r="AE20" s="661"/>
      <c r="AF20" s="545">
        <v>1</v>
      </c>
      <c r="AG20" s="662"/>
      <c r="AH20" s="545" t="s">
        <v>19</v>
      </c>
      <c r="AI20" s="661"/>
      <c r="AJ20" s="545">
        <v>1</v>
      </c>
      <c r="AK20" s="662"/>
      <c r="AL20" s="545" t="s">
        <v>19</v>
      </c>
      <c r="AM20" s="663"/>
      <c r="AN20" s="545">
        <v>1</v>
      </c>
      <c r="AO20" s="134"/>
      <c r="AP20" s="545" t="s">
        <v>19</v>
      </c>
      <c r="AQ20" s="663"/>
      <c r="AR20" s="545">
        <v>1</v>
      </c>
      <c r="AS20" s="134"/>
      <c r="AT20" s="522"/>
      <c r="AU20" s="597"/>
      <c r="AV20" s="522"/>
      <c r="AW20" s="597"/>
      <c r="AX20" s="667"/>
      <c r="AY20" s="299" t="s">
        <v>66</v>
      </c>
      <c r="AZ20" s="667"/>
      <c r="BA20" s="299" t="s">
        <v>66</v>
      </c>
      <c r="BI20" s="50">
        <v>0</v>
      </c>
    </row>
    <row r="21" ht="14.25" hidden="1" customHeight="1">
      <c r="BD21" s="131"/>
      <c r="BE21" s="131"/>
      <c r="BF21" s="131"/>
      <c r="BG21" s="131"/>
      <c r="BH21" s="131"/>
      <c r="BI21" s="50">
        <v>0</v>
      </c>
    </row>
    <row r="22" ht="14.25" hidden="1" customHeight="1">
      <c r="O22" s="551" t="s">
        <v>417</v>
      </c>
      <c r="Z22" s="595"/>
      <c r="AB22" s="595"/>
      <c r="AC22" s="50"/>
      <c r="AX22" s="595"/>
      <c r="AZ22" s="595"/>
      <c r="BA22" s="50"/>
      <c r="BD22" s="131"/>
      <c r="BE22" s="131"/>
      <c r="BF22" s="131"/>
      <c r="BG22" s="131"/>
      <c r="BH22" s="131"/>
      <c r="BI22" s="50">
        <v>0</v>
      </c>
    </row>
    <row r="23" ht="14.25" hidden="1" customHeight="1">
      <c r="AC23" s="50"/>
      <c r="BA23" s="50"/>
      <c r="BD23" s="131"/>
      <c r="BE23" s="131"/>
      <c r="BF23" s="131"/>
      <c r="BG23" s="131"/>
      <c r="BH23" s="131"/>
      <c r="BI23" s="50">
        <v>0</v>
      </c>
    </row>
    <row r="24" s="668" customFormat="1" ht="14.25" hidden="1" customHeight="1">
      <c r="M24" s="669"/>
      <c r="N24" s="669"/>
      <c r="O24" s="668" t="s">
        <v>418</v>
      </c>
      <c r="P24" s="669"/>
      <c r="Q24" s="670"/>
      <c r="R24" s="670"/>
      <c r="AA24" s="668" t="s">
        <v>420</v>
      </c>
      <c r="AC24" s="668" t="s">
        <v>421</v>
      </c>
      <c r="AD24" s="668" t="s">
        <v>468</v>
      </c>
      <c r="AH24" s="668" t="s">
        <v>468</v>
      </c>
      <c r="AK24" s="668" t="s">
        <v>508</v>
      </c>
      <c r="AL24" s="668" t="s">
        <v>468</v>
      </c>
      <c r="AP24" s="668" t="s">
        <v>468</v>
      </c>
      <c r="AY24" s="668" t="s">
        <v>420</v>
      </c>
      <c r="BA24" s="668" t="s">
        <v>421</v>
      </c>
      <c r="BD24" s="671"/>
      <c r="BE24" s="671"/>
      <c r="BF24" s="671"/>
      <c r="BG24" s="671"/>
      <c r="BH24" s="671"/>
      <c r="BI24" s="668">
        <v>0</v>
      </c>
    </row>
    <row r="25" ht="14.25" hidden="1" customHeight="1">
      <c r="O25" s="495"/>
      <c r="BD25" s="131"/>
      <c r="BE25" s="131"/>
      <c r="BF25" s="131"/>
      <c r="BG25" s="131"/>
      <c r="BH25" s="131"/>
      <c r="BI25" s="50">
        <v>0</v>
      </c>
    </row>
    <row r="26" ht="14.25" hidden="1" customHeight="1">
      <c r="O26" s="495"/>
      <c r="BD26" s="131"/>
      <c r="BE26" s="131"/>
      <c r="BF26" s="131"/>
      <c r="BG26" s="131"/>
      <c r="BH26" s="131"/>
      <c r="BI26" s="50">
        <v>0</v>
      </c>
    </row>
    <row r="27" ht="14.65" customHeight="1">
      <c r="Q27" s="672"/>
      <c r="R27" s="553"/>
      <c r="S27" s="554"/>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2"/>
      <c r="R28" s="553"/>
      <c r="S28" s="466"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66"/>
      <c r="U28" s="466"/>
      <c r="V28" s="466"/>
      <c r="W28" s="466"/>
      <c r="X28" s="466"/>
      <c r="Y28" s="466"/>
      <c r="Z28" s="466"/>
      <c r="AA28" s="466"/>
      <c r="AB28" s="466"/>
      <c r="AC28" s="466"/>
      <c r="AD28" s="466"/>
      <c r="AE28" s="466"/>
      <c r="AF28" s="466"/>
      <c r="AG28" s="466"/>
      <c r="AH28" s="466"/>
      <c r="AI28" s="466"/>
      <c r="AJ28" s="466"/>
      <c r="AK28" s="466"/>
      <c r="AL28" s="466"/>
      <c r="AM28" s="466"/>
      <c r="AN28" s="466"/>
      <c r="AO28" s="466"/>
      <c r="AP28" s="466"/>
      <c r="AQ28" s="466"/>
      <c r="AR28" s="466"/>
      <c r="AS28" s="466"/>
      <c r="AT28" s="466"/>
      <c r="AU28" s="466"/>
      <c r="AV28" s="466"/>
      <c r="AW28" s="466"/>
      <c r="AX28" s="466"/>
      <c r="AY28" s="466"/>
      <c r="AZ28" s="466"/>
      <c r="BA28" s="240"/>
      <c r="BI28" s="50">
        <v>14</v>
      </c>
    </row>
    <row r="29" ht="14.65" customHeight="1">
      <c r="Q29" s="672"/>
      <c r="R29" s="553"/>
      <c r="S29" s="320" t="str">
        <f>IF(org=0,"Не определено",org)</f>
        <v xml:space="preserve">филиал Пермская ГРЭС АО "Интер РАО - Электрогенерация"</v>
      </c>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0"/>
      <c r="AQ29" s="320"/>
      <c r="AR29" s="320"/>
      <c r="AS29" s="320"/>
      <c r="AT29" s="320"/>
      <c r="AU29" s="320"/>
      <c r="AV29" s="320"/>
      <c r="AW29" s="320"/>
      <c r="AX29" s="320"/>
      <c r="AY29" s="320"/>
      <c r="AZ29" s="320"/>
      <c r="BA29" s="240"/>
      <c r="BI29" s="50">
        <v>14</v>
      </c>
    </row>
    <row r="30" ht="14.25" hidden="1" customHeight="1">
      <c r="Q30" s="672"/>
      <c r="R30" s="553"/>
      <c r="S30" s="554"/>
      <c r="T30" s="91"/>
      <c r="U30" s="91"/>
      <c r="V30" s="555"/>
      <c r="W30" s="555"/>
      <c r="X30" s="555"/>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5"/>
      <c r="AY30" s="555"/>
      <c r="AZ30" s="555"/>
      <c r="BA30" s="555"/>
      <c r="BB30" s="50"/>
      <c r="BI30" s="50">
        <v>0</v>
      </c>
    </row>
    <row r="31" s="184" customFormat="1" ht="25.5" hidden="1" customHeight="1">
      <c r="A31" s="151"/>
      <c r="B31" s="151"/>
      <c r="C31" s="151"/>
      <c r="D31" s="151"/>
      <c r="E31" s="151"/>
      <c r="F31" s="151"/>
      <c r="G31" s="151"/>
      <c r="H31" s="151"/>
      <c r="I31" s="151"/>
      <c r="J31" s="151"/>
      <c r="K31" s="151"/>
      <c r="L31" s="495"/>
      <c r="M31" s="151"/>
      <c r="N31" s="151"/>
      <c r="O31" s="151"/>
      <c r="P31" s="151"/>
      <c r="Q31" s="151"/>
      <c r="S31" s="556" t="s">
        <v>42</v>
      </c>
      <c r="T31" s="556"/>
      <c r="U31" s="557"/>
      <c r="V31" s="558" t="str">
        <f>IF(TITLE_NAME_OR_PR_CHANGE="",IF(TITLE_NAME_OR_PR="","",TITLE_NAME_OR_PR),TITLE_NAME_OR_PR_CHANGE)</f>
        <v/>
      </c>
      <c r="W31" s="558"/>
      <c r="X31" s="558"/>
      <c r="Y31" s="558"/>
      <c r="Z31" s="558"/>
      <c r="AA31" s="558"/>
      <c r="AB31" s="558"/>
      <c r="AC31" s="50"/>
      <c r="AD31" s="558" t="str">
        <f>IF(TITLE_NAME_OR_PR_CHANGE="",IF(TITLE_NAME_OR_PR="","",TITLE_NAME_OR_PR),TITLE_NAME_OR_PR_CHANGE)</f>
        <v/>
      </c>
      <c r="AE31" s="558"/>
      <c r="AF31" s="558"/>
      <c r="AG31" s="558"/>
      <c r="AH31" s="558"/>
      <c r="AI31" s="558"/>
      <c r="AJ31" s="558"/>
      <c r="AK31" s="558"/>
      <c r="AL31" s="558"/>
      <c r="AM31" s="558"/>
      <c r="AN31" s="558"/>
      <c r="AO31" s="558"/>
      <c r="AP31" s="558"/>
      <c r="AQ31" s="558"/>
      <c r="AR31" s="558"/>
      <c r="AS31" s="558"/>
      <c r="AT31" s="558"/>
      <c r="AU31" s="558"/>
      <c r="AV31" s="558"/>
      <c r="AW31" s="558"/>
      <c r="AX31" s="558"/>
      <c r="AY31" s="558"/>
      <c r="AZ31" s="558"/>
      <c r="BA31" s="50"/>
      <c r="BB31" s="50"/>
      <c r="BC31" s="559"/>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95"/>
      <c r="M32" s="151"/>
      <c r="N32" s="151"/>
      <c r="O32" s="151"/>
      <c r="P32" s="151"/>
      <c r="Q32" s="151"/>
      <c r="S32" s="556" t="s">
        <v>423</v>
      </c>
      <c r="T32" s="556"/>
      <c r="U32" s="557"/>
      <c r="V32" s="560" t="str">
        <f>IF(TITLE_DATE_PR_CHANGE="",IF(TITLE_DATE_PR="","",TITLE_DATE_PR),TITLE_DATE_PR_CHANGE)</f>
        <v>45406</v>
      </c>
      <c r="W32" s="560"/>
      <c r="X32" s="560"/>
      <c r="Y32" s="560"/>
      <c r="Z32" s="560"/>
      <c r="AA32" s="560"/>
      <c r="AB32" s="560"/>
      <c r="AC32" s="50"/>
      <c r="AD32" s="560" t="str">
        <f>IF(TITLE_DATE_PR_CHANGE="",IF(TITLE_DATE_PR="","",TITLE_DATE_PR),TITLE_DATE_PR_CHANGE)</f>
        <v>45406</v>
      </c>
      <c r="AE32" s="560"/>
      <c r="AF32" s="560"/>
      <c r="AG32" s="560"/>
      <c r="AH32" s="560"/>
      <c r="AI32" s="560"/>
      <c r="AJ32" s="560"/>
      <c r="AK32" s="560"/>
      <c r="AL32" s="560"/>
      <c r="AM32" s="560"/>
      <c r="AN32" s="560"/>
      <c r="AO32" s="560"/>
      <c r="AP32" s="560"/>
      <c r="AQ32" s="560"/>
      <c r="AR32" s="560"/>
      <c r="AS32" s="560"/>
      <c r="AT32" s="560"/>
      <c r="AU32" s="560"/>
      <c r="AV32" s="560"/>
      <c r="AW32" s="560"/>
      <c r="AX32" s="560"/>
      <c r="AY32" s="560"/>
      <c r="AZ32" s="560"/>
      <c r="BA32" s="50"/>
      <c r="BB32" s="50"/>
      <c r="BC32" s="559"/>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95"/>
      <c r="M33" s="151"/>
      <c r="N33" s="151"/>
      <c r="O33" s="151"/>
      <c r="P33" s="151"/>
      <c r="Q33" s="151"/>
      <c r="S33" s="556" t="s">
        <v>424</v>
      </c>
      <c r="T33" s="556"/>
      <c r="U33" s="557"/>
      <c r="V33" s="558" t="str">
        <f>IF(TITLE_NUMBER_PR_CHANGE="",IF(TITLE_NUMBER_PR="","",TITLE_NUMBER_PR),TITLE_NUMBER_PR_CHANGE)</f>
        <v>ПГ/01/950</v>
      </c>
      <c r="W33" s="558"/>
      <c r="X33" s="558"/>
      <c r="Y33" s="558"/>
      <c r="Z33" s="558"/>
      <c r="AA33" s="558"/>
      <c r="AB33" s="558"/>
      <c r="AC33" s="50"/>
      <c r="AD33" s="558" t="str">
        <f>IF(TITLE_NUMBER_PR_CHANGE="",IF(TITLE_NUMBER_PR="","",TITLE_NUMBER_PR),TITLE_NUMBER_PR_CHANGE)</f>
        <v>ПГ/01/950</v>
      </c>
      <c r="AE33" s="558"/>
      <c r="AF33" s="558"/>
      <c r="AG33" s="558"/>
      <c r="AH33" s="558"/>
      <c r="AI33" s="558"/>
      <c r="AJ33" s="558"/>
      <c r="AK33" s="558"/>
      <c r="AL33" s="558"/>
      <c r="AM33" s="558"/>
      <c r="AN33" s="558"/>
      <c r="AO33" s="558"/>
      <c r="AP33" s="558"/>
      <c r="AQ33" s="558"/>
      <c r="AR33" s="558"/>
      <c r="AS33" s="558"/>
      <c r="AT33" s="558"/>
      <c r="AU33" s="558"/>
      <c r="AV33" s="558"/>
      <c r="AW33" s="558"/>
      <c r="AX33" s="558"/>
      <c r="AY33" s="558"/>
      <c r="AZ33" s="558"/>
      <c r="BA33" s="50"/>
      <c r="BB33" s="50"/>
      <c r="BC33" s="559"/>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95"/>
      <c r="M34" s="151"/>
      <c r="N34" s="151"/>
      <c r="O34" s="151"/>
      <c r="P34" s="151"/>
      <c r="Q34" s="151"/>
      <c r="S34" s="556" t="s">
        <v>43</v>
      </c>
      <c r="T34" s="556"/>
      <c r="U34" s="557"/>
      <c r="V34" s="558" t="str">
        <f>IF(TITLE_IST_PUB_CHANGE="",IF(TITLE_IST_PUB="","",TITLE_IST_PUB),TITLE_IST_PUB_CHANGE)</f>
        <v/>
      </c>
      <c r="W34" s="558"/>
      <c r="X34" s="558"/>
      <c r="Y34" s="558"/>
      <c r="Z34" s="558"/>
      <c r="AA34" s="558"/>
      <c r="AB34" s="558"/>
      <c r="AC34" s="50"/>
      <c r="AD34" s="558" t="str">
        <f>IF(TITLE_IST_PUB_CHANGE="",IF(TITLE_IST_PUB="","",TITLE_IST_PUB),TITLE_IST_PUB_CHANGE)</f>
        <v/>
      </c>
      <c r="AE34" s="558"/>
      <c r="AF34" s="558"/>
      <c r="AG34" s="558"/>
      <c r="AH34" s="558"/>
      <c r="AI34" s="558"/>
      <c r="AJ34" s="558"/>
      <c r="AK34" s="558"/>
      <c r="AL34" s="558"/>
      <c r="AM34" s="558"/>
      <c r="AN34" s="558"/>
      <c r="AO34" s="558"/>
      <c r="AP34" s="558"/>
      <c r="AQ34" s="558"/>
      <c r="AR34" s="558"/>
      <c r="AS34" s="558"/>
      <c r="AT34" s="558"/>
      <c r="AU34" s="558"/>
      <c r="AV34" s="558"/>
      <c r="AW34" s="558"/>
      <c r="AX34" s="558"/>
      <c r="AY34" s="558"/>
      <c r="AZ34" s="558"/>
      <c r="BA34" s="50"/>
      <c r="BB34" s="50"/>
      <c r="BC34" s="559"/>
      <c r="BD34" s="129"/>
      <c r="BE34" s="129"/>
      <c r="BF34" s="129"/>
      <c r="BG34" s="129"/>
      <c r="BH34" s="129"/>
      <c r="BI34" s="184">
        <v>0</v>
      </c>
    </row>
    <row r="35" ht="14.25" customHeight="1">
      <c r="Q35" s="672"/>
      <c r="R35" s="553"/>
      <c r="S35" s="554"/>
      <c r="T35" s="91"/>
      <c r="U35" s="91"/>
      <c r="V35" s="555"/>
      <c r="W35" s="555"/>
      <c r="X35" s="555"/>
      <c r="Y35" s="555"/>
      <c r="Z35" s="555"/>
      <c r="AA35" s="555"/>
      <c r="AB35" s="555"/>
      <c r="AC35" s="555"/>
      <c r="AD35" s="555"/>
      <c r="AE35" s="555"/>
      <c r="AF35" s="555"/>
      <c r="AG35" s="555"/>
      <c r="AH35" s="555"/>
      <c r="AI35" s="555"/>
      <c r="AJ35" s="555"/>
      <c r="AK35" s="555"/>
      <c r="AL35" s="555"/>
      <c r="AM35" s="555"/>
      <c r="AN35" s="555"/>
      <c r="AO35" s="555"/>
      <c r="AP35" s="555"/>
      <c r="AQ35" s="555"/>
      <c r="AR35" s="555"/>
      <c r="AS35" s="555"/>
      <c r="AT35" s="555"/>
      <c r="AU35" s="555"/>
      <c r="AV35" s="555"/>
      <c r="AW35" s="555"/>
      <c r="AX35" s="555"/>
      <c r="AY35" s="555"/>
      <c r="AZ35" s="555"/>
      <c r="BA35" s="555"/>
      <c r="BB35" s="50"/>
      <c r="BI35" s="50">
        <v>0</v>
      </c>
    </row>
    <row r="36" s="184" customFormat="1" ht="18.75" customHeight="1">
      <c r="A36" s="151"/>
      <c r="B36" s="151"/>
      <c r="C36" s="151"/>
      <c r="D36" s="151"/>
      <c r="E36" s="151"/>
      <c r="F36" s="151"/>
      <c r="G36" s="151"/>
      <c r="H36" s="151"/>
      <c r="I36" s="151"/>
      <c r="J36" s="151"/>
      <c r="K36" s="151"/>
      <c r="L36" s="495"/>
      <c r="M36" s="151"/>
      <c r="N36" s="151"/>
      <c r="O36" s="151"/>
      <c r="P36" s="151"/>
      <c r="Q36" s="151"/>
      <c r="S36" s="556" t="s">
        <v>423</v>
      </c>
      <c r="T36" s="556"/>
      <c r="U36" s="557"/>
      <c r="V36" s="560" t="str">
        <f>IF(TITLE_DATE_PR_CHANGE="",IF(TITLE_DATE_PR="","",TITLE_DATE_PR),TITLE_DATE_PR_CHANGE)</f>
        <v>45406</v>
      </c>
      <c r="W36" s="560"/>
      <c r="X36" s="560"/>
      <c r="Y36" s="560"/>
      <c r="Z36" s="560"/>
      <c r="AA36" s="560"/>
      <c r="AB36" s="560"/>
      <c r="AC36" s="50"/>
      <c r="AD36" s="560" t="str">
        <f>IF(TITLE_DATE_PR_CHANGE="",IF(TITLE_DATE_PR="","",TITLE_DATE_PR),TITLE_DATE_PR_CHANGE)</f>
        <v>45406</v>
      </c>
      <c r="AE36" s="560"/>
      <c r="AF36" s="560"/>
      <c r="AG36" s="560"/>
      <c r="AH36" s="560"/>
      <c r="AI36" s="560"/>
      <c r="AJ36" s="560"/>
      <c r="AK36" s="560"/>
      <c r="AL36" s="560"/>
      <c r="AM36" s="560"/>
      <c r="AN36" s="560"/>
      <c r="AO36" s="560"/>
      <c r="AP36" s="560"/>
      <c r="AQ36" s="560"/>
      <c r="AR36" s="560"/>
      <c r="AS36" s="560"/>
      <c r="AT36" s="560"/>
      <c r="AU36" s="560"/>
      <c r="AV36" s="560"/>
      <c r="AW36" s="560"/>
      <c r="AX36" s="560"/>
      <c r="AY36" s="560"/>
      <c r="AZ36" s="560"/>
      <c r="BA36" s="50"/>
      <c r="BB36" s="50"/>
      <c r="BC36" s="559"/>
      <c r="BD36" s="129"/>
      <c r="BE36" s="129"/>
      <c r="BF36" s="129"/>
      <c r="BG36" s="129"/>
      <c r="BH36" s="129"/>
      <c r="BI36" s="184">
        <v>0</v>
      </c>
    </row>
    <row r="37" s="184" customFormat="1" ht="18.75" customHeight="1">
      <c r="A37" s="151"/>
      <c r="B37" s="151"/>
      <c r="C37" s="151"/>
      <c r="D37" s="151"/>
      <c r="E37" s="151"/>
      <c r="F37" s="151"/>
      <c r="G37" s="151"/>
      <c r="H37" s="151"/>
      <c r="I37" s="151"/>
      <c r="J37" s="151"/>
      <c r="K37" s="151"/>
      <c r="L37" s="495"/>
      <c r="M37" s="151"/>
      <c r="N37" s="151"/>
      <c r="O37" s="151"/>
      <c r="P37" s="151"/>
      <c r="Q37" s="151"/>
      <c r="S37" s="556" t="s">
        <v>424</v>
      </c>
      <c r="T37" s="556"/>
      <c r="U37" s="557"/>
      <c r="V37" s="558" t="str">
        <f>IF(TITLE_NUMBER_PR_CHANGE="",IF(TITLE_NUMBER_PR="","",TITLE_NUMBER_PR),TITLE_NUMBER_PR_CHANGE)</f>
        <v>ПГ/01/950</v>
      </c>
      <c r="W37" s="558"/>
      <c r="X37" s="558"/>
      <c r="Y37" s="558"/>
      <c r="Z37" s="558"/>
      <c r="AA37" s="558"/>
      <c r="AB37" s="558"/>
      <c r="AC37" s="50"/>
      <c r="AD37" s="558" t="str">
        <f>IF(TITLE_NUMBER_PR_CHANGE="",IF(TITLE_NUMBER_PR="","",TITLE_NUMBER_PR),TITLE_NUMBER_PR_CHANGE)</f>
        <v>ПГ/01/950</v>
      </c>
      <c r="AE37" s="558"/>
      <c r="AF37" s="558"/>
      <c r="AG37" s="558"/>
      <c r="AH37" s="558"/>
      <c r="AI37" s="558"/>
      <c r="AJ37" s="558"/>
      <c r="AK37" s="558"/>
      <c r="AL37" s="558"/>
      <c r="AM37" s="558"/>
      <c r="AN37" s="558"/>
      <c r="AO37" s="558"/>
      <c r="AP37" s="558"/>
      <c r="AQ37" s="558"/>
      <c r="AR37" s="558"/>
      <c r="AS37" s="558"/>
      <c r="AT37" s="558"/>
      <c r="AU37" s="558"/>
      <c r="AV37" s="558"/>
      <c r="AW37" s="558"/>
      <c r="AX37" s="558"/>
      <c r="AY37" s="558"/>
      <c r="AZ37" s="558"/>
      <c r="BA37" s="50"/>
      <c r="BB37" s="50"/>
      <c r="BC37" s="559"/>
      <c r="BD37" s="129"/>
      <c r="BE37" s="129"/>
      <c r="BF37" s="129"/>
      <c r="BG37" s="129"/>
      <c r="BH37" s="129"/>
      <c r="BI37" s="184">
        <v>0</v>
      </c>
    </row>
    <row r="38" s="184" customFormat="1" ht="0" customHeight="1">
      <c r="A38" s="151"/>
      <c r="B38" s="151"/>
      <c r="C38" s="151"/>
      <c r="D38" s="151"/>
      <c r="E38" s="151"/>
      <c r="F38" s="151"/>
      <c r="G38" s="151"/>
      <c r="H38" s="151"/>
      <c r="I38" s="151"/>
      <c r="J38" s="151"/>
      <c r="K38" s="151"/>
      <c r="L38" s="495"/>
      <c r="M38" s="151"/>
      <c r="N38" s="151"/>
      <c r="O38" s="151"/>
      <c r="P38" s="151"/>
      <c r="Q38" s="151"/>
      <c r="S38" s="50"/>
      <c r="T38" s="50"/>
      <c r="U38" s="140"/>
      <c r="V38" s="50"/>
      <c r="W38" s="50"/>
      <c r="X38" s="50"/>
      <c r="Y38" s="50"/>
      <c r="Z38" s="50"/>
      <c r="AA38" s="50"/>
      <c r="AB38" s="50"/>
      <c r="AC38" s="57" t="s">
        <v>427</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427</v>
      </c>
      <c r="BD38" s="129"/>
      <c r="BE38" s="129"/>
      <c r="BF38" s="129"/>
      <c r="BG38" s="129"/>
      <c r="BH38" s="129"/>
      <c r="BI38" s="184">
        <v>0</v>
      </c>
    </row>
    <row r="39" ht="14.65" customHeight="1">
      <c r="Q39" s="672"/>
      <c r="R39" s="553"/>
      <c r="S39" s="554"/>
      <c r="T39" s="91"/>
      <c r="U39" s="561"/>
      <c r="V39" s="562"/>
      <c r="W39" s="562"/>
      <c r="X39" s="562"/>
      <c r="Y39" s="562"/>
      <c r="Z39" s="562"/>
      <c r="AA39" s="562"/>
      <c r="AB39" s="562"/>
      <c r="AC39" s="562"/>
      <c r="AD39" s="562"/>
      <c r="AE39" s="562"/>
      <c r="AF39" s="562"/>
      <c r="AG39" s="562"/>
      <c r="AH39" s="562"/>
      <c r="AI39" s="562"/>
      <c r="AJ39" s="562"/>
      <c r="AK39" s="562"/>
      <c r="AL39" s="562"/>
      <c r="AM39" s="562"/>
      <c r="AN39" s="562"/>
      <c r="AO39" s="562"/>
      <c r="AP39" s="562"/>
      <c r="AQ39" s="562"/>
      <c r="AR39" s="562"/>
      <c r="AS39" s="562"/>
      <c r="AT39" s="562"/>
      <c r="AU39" s="562"/>
      <c r="AV39" s="562"/>
      <c r="AW39" s="562"/>
      <c r="AX39" s="562"/>
      <c r="AY39" s="562"/>
      <c r="AZ39" s="562"/>
      <c r="BA39" s="562"/>
      <c r="BI39" s="50">
        <v>14</v>
      </c>
    </row>
    <row r="40" ht="14.65" customHeight="1">
      <c r="Q40" s="672"/>
      <c r="R40" s="553"/>
      <c r="S40" s="157" t="s">
        <v>302</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303</v>
      </c>
      <c r="BI40" s="50">
        <v>14</v>
      </c>
    </row>
    <row r="41" ht="14.65" customHeight="1">
      <c r="Q41" s="672"/>
      <c r="R41" s="553"/>
      <c r="S41" s="498" t="s">
        <v>88</v>
      </c>
      <c r="T41" s="362" t="s">
        <v>509</v>
      </c>
      <c r="U41" s="563"/>
      <c r="V41" s="564" t="s">
        <v>429</v>
      </c>
      <c r="W41" s="565"/>
      <c r="X41" s="565"/>
      <c r="Y41" s="565"/>
      <c r="Z41" s="565"/>
      <c r="AA41" s="565"/>
      <c r="AB41" s="566"/>
      <c r="AC41" s="567" t="s">
        <v>430</v>
      </c>
      <c r="AD41" s="674" t="s">
        <v>510</v>
      </c>
      <c r="AE41" s="598"/>
      <c r="AF41" s="598"/>
      <c r="AG41" s="675"/>
      <c r="AH41" s="674" t="s">
        <v>511</v>
      </c>
      <c r="AI41" s="598"/>
      <c r="AJ41" s="598"/>
      <c r="AK41" s="675"/>
      <c r="AL41" s="674" t="s">
        <v>512</v>
      </c>
      <c r="AM41" s="598"/>
      <c r="AN41" s="598"/>
      <c r="AO41" s="675"/>
      <c r="AP41" s="674" t="s">
        <v>513</v>
      </c>
      <c r="AQ41" s="598"/>
      <c r="AR41" s="598"/>
      <c r="AS41" s="675"/>
      <c r="AT41" s="564" t="s">
        <v>429</v>
      </c>
      <c r="AU41" s="565"/>
      <c r="AV41" s="565"/>
      <c r="AW41" s="565"/>
      <c r="AX41" s="565"/>
      <c r="AY41" s="565"/>
      <c r="AZ41" s="566"/>
      <c r="BA41" s="567" t="s">
        <v>430</v>
      </c>
      <c r="BB41" s="568" t="s">
        <v>432</v>
      </c>
      <c r="BC41" s="157"/>
      <c r="BI41" s="50">
        <v>14</v>
      </c>
    </row>
    <row r="42" ht="35.649999999999999" customHeight="1">
      <c r="Q42" s="672"/>
      <c r="R42" s="553"/>
      <c r="S42" s="498"/>
      <c r="T42" s="362"/>
      <c r="U42" s="569"/>
      <c r="V42" s="321" t="s">
        <v>514</v>
      </c>
      <c r="W42" s="322"/>
      <c r="X42" s="321" t="s">
        <v>515</v>
      </c>
      <c r="Y42" s="322"/>
      <c r="Z42" s="321" t="s">
        <v>516</v>
      </c>
      <c r="AA42" s="640"/>
      <c r="AB42" s="322"/>
      <c r="AC42" s="571"/>
      <c r="AD42" s="677"/>
      <c r="AE42" s="678"/>
      <c r="AF42" s="678"/>
      <c r="AG42" s="679"/>
      <c r="AH42" s="677"/>
      <c r="AI42" s="678"/>
      <c r="AJ42" s="678"/>
      <c r="AK42" s="679"/>
      <c r="AL42" s="677"/>
      <c r="AM42" s="678"/>
      <c r="AN42" s="678"/>
      <c r="AO42" s="679"/>
      <c r="AP42" s="677"/>
      <c r="AQ42" s="678"/>
      <c r="AR42" s="678"/>
      <c r="AS42" s="679"/>
      <c r="AT42" s="321" t="s">
        <v>514</v>
      </c>
      <c r="AU42" s="322"/>
      <c r="AV42" s="321" t="s">
        <v>515</v>
      </c>
      <c r="AW42" s="322"/>
      <c r="AX42" s="321" t="s">
        <v>516</v>
      </c>
      <c r="AY42" s="640"/>
      <c r="AZ42" s="322"/>
      <c r="BA42" s="571"/>
      <c r="BB42" s="572"/>
      <c r="BC42" s="157"/>
      <c r="BI42" s="50">
        <v>34</v>
      </c>
    </row>
    <row r="43" ht="14.65" customHeight="1">
      <c r="Q43" s="672"/>
      <c r="R43" s="553"/>
      <c r="S43" s="498"/>
      <c r="T43" s="362"/>
      <c r="U43" s="569"/>
      <c r="V43" s="327"/>
      <c r="W43" s="328"/>
      <c r="X43" s="327"/>
      <c r="Y43" s="328"/>
      <c r="Z43" s="327"/>
      <c r="AA43" s="641"/>
      <c r="AB43" s="328"/>
      <c r="AC43" s="571"/>
      <c r="AD43" s="677"/>
      <c r="AE43" s="678"/>
      <c r="AF43" s="678"/>
      <c r="AG43" s="679"/>
      <c r="AH43" s="677"/>
      <c r="AI43" s="678"/>
      <c r="AJ43" s="678"/>
      <c r="AK43" s="679"/>
      <c r="AL43" s="677"/>
      <c r="AM43" s="678"/>
      <c r="AN43" s="678"/>
      <c r="AO43" s="679"/>
      <c r="AP43" s="677"/>
      <c r="AQ43" s="678"/>
      <c r="AR43" s="678"/>
      <c r="AS43" s="679"/>
      <c r="AT43" s="327"/>
      <c r="AU43" s="328"/>
      <c r="AV43" s="327"/>
      <c r="AW43" s="328"/>
      <c r="AX43" s="327"/>
      <c r="AY43" s="641"/>
      <c r="AZ43" s="328"/>
      <c r="BA43" s="571"/>
      <c r="BB43" s="572"/>
      <c r="BC43" s="157"/>
      <c r="BI43" s="50">
        <v>14</v>
      </c>
    </row>
    <row r="44" ht="14.65" customHeight="1">
      <c r="A44" s="151"/>
      <c r="B44" s="151" t="s">
        <v>135</v>
      </c>
      <c r="C44" s="151" t="s">
        <v>136</v>
      </c>
      <c r="D44" s="151" t="s">
        <v>137</v>
      </c>
      <c r="E44" s="495" t="s">
        <v>437</v>
      </c>
      <c r="F44" s="495" t="s">
        <v>438</v>
      </c>
      <c r="G44" s="495" t="s">
        <v>439</v>
      </c>
      <c r="H44" s="495" t="s">
        <v>440</v>
      </c>
      <c r="I44" s="495" t="s">
        <v>441</v>
      </c>
      <c r="J44" s="495" t="s">
        <v>442</v>
      </c>
      <c r="K44" s="495" t="s">
        <v>443</v>
      </c>
      <c r="L44" s="495" t="s">
        <v>418</v>
      </c>
      <c r="Q44" s="672"/>
      <c r="R44" s="553"/>
      <c r="S44" s="498"/>
      <c r="T44" s="362"/>
      <c r="U44" s="573"/>
      <c r="V44" s="362" t="s">
        <v>477</v>
      </c>
      <c r="W44" s="362" t="s">
        <v>478</v>
      </c>
      <c r="X44" s="362" t="s">
        <v>477</v>
      </c>
      <c r="Y44" s="362" t="s">
        <v>478</v>
      </c>
      <c r="Z44" s="246" t="s">
        <v>446</v>
      </c>
      <c r="AA44" s="429" t="s">
        <v>447</v>
      </c>
      <c r="AB44" s="431"/>
      <c r="AC44" s="575"/>
      <c r="AD44" s="683"/>
      <c r="AE44" s="684"/>
      <c r="AF44" s="684"/>
      <c r="AG44" s="685"/>
      <c r="AH44" s="683"/>
      <c r="AI44" s="684"/>
      <c r="AJ44" s="684"/>
      <c r="AK44" s="685"/>
      <c r="AL44" s="683"/>
      <c r="AM44" s="684"/>
      <c r="AN44" s="684"/>
      <c r="AO44" s="685"/>
      <c r="AP44" s="683"/>
      <c r="AQ44" s="684"/>
      <c r="AR44" s="684"/>
      <c r="AS44" s="685"/>
      <c r="AT44" s="362" t="s">
        <v>477</v>
      </c>
      <c r="AU44" s="362" t="s">
        <v>478</v>
      </c>
      <c r="AV44" s="362" t="s">
        <v>477</v>
      </c>
      <c r="AW44" s="362" t="s">
        <v>478</v>
      </c>
      <c r="AX44" s="246" t="s">
        <v>446</v>
      </c>
      <c r="AY44" s="429" t="s">
        <v>447</v>
      </c>
      <c r="AZ44" s="431"/>
      <c r="BA44" s="575"/>
      <c r="BB44" s="576"/>
      <c r="BC44" s="157"/>
      <c r="BI44" s="50">
        <v>14</v>
      </c>
    </row>
    <row r="45" s="131" customFormat="1" ht="11.25" hidden="1" customHeight="1">
      <c r="A45" s="151"/>
      <c r="B45" s="151"/>
      <c r="C45" s="151"/>
      <c r="D45" s="151"/>
      <c r="E45" s="151"/>
      <c r="F45" s="151"/>
      <c r="G45" s="151"/>
      <c r="H45" s="151"/>
      <c r="I45" s="151"/>
      <c r="J45" s="151"/>
      <c r="K45" s="151"/>
      <c r="L45" s="495"/>
      <c r="M45" s="61"/>
      <c r="N45" s="61"/>
      <c r="O45" s="61"/>
      <c r="P45" s="610"/>
      <c r="Q45" s="579"/>
      <c r="R45" s="579">
        <v>1</v>
      </c>
      <c r="S45" s="580" t="s">
        <v>109</v>
      </c>
      <c r="T45" s="581" t="s">
        <v>110</v>
      </c>
      <c r="U45" s="582" t="str">
        <f ca="1">OFFSET(U45,0,-1)</f>
        <v>2</v>
      </c>
      <c r="V45" s="583">
        <f ca="1">OFFSET(V45,0,-1)+1</f>
        <v>3</v>
      </c>
      <c r="W45" s="583">
        <f ca="1">OFFSET(W45,0,-1)+1</f>
        <v>4</v>
      </c>
      <c r="X45" s="583">
        <f ca="1">OFFSET(X45,0,-1)+1</f>
        <v>5</v>
      </c>
      <c r="Y45" s="583">
        <f ca="1">OFFSET(Y45,0,-1)+1</f>
        <v>6</v>
      </c>
      <c r="Z45" s="583">
        <f ca="1">OFFSET(Z45,0,-1)+1</f>
        <v>7</v>
      </c>
      <c r="AA45" s="583">
        <f ca="1">OFFSET(AA45,0,-1)+1</f>
        <v>8</v>
      </c>
      <c r="AB45" s="583"/>
      <c r="AC45" s="583">
        <f ca="1">OFFSET(AC45,0,-2)+1</f>
        <v>9</v>
      </c>
      <c r="AD45" s="583">
        <f ca="1">OFFSET(AD45,0,-1)+1</f>
        <v>10</v>
      </c>
      <c r="AE45" s="583"/>
      <c r="AF45" s="583"/>
      <c r="AG45" s="583"/>
      <c r="AH45" s="583"/>
      <c r="AI45" s="583"/>
      <c r="AJ45" s="583"/>
      <c r="AK45" s="583"/>
      <c r="AL45" s="583"/>
      <c r="AM45" s="583"/>
      <c r="AN45" s="583"/>
      <c r="AO45" s="583"/>
      <c r="AP45" s="583"/>
      <c r="AQ45" s="583"/>
      <c r="AR45" s="583"/>
      <c r="AS45" s="583"/>
      <c r="AT45" s="583"/>
      <c r="AU45" s="583"/>
      <c r="AV45" s="583"/>
      <c r="AW45" s="583">
        <f ca="1">OFFSET(AW45,0,-1)+1</f>
        <v>1</v>
      </c>
      <c r="AX45" s="583">
        <f ca="1">OFFSET(AX45,0,-1)+1</f>
        <v>2</v>
      </c>
      <c r="AY45" s="583">
        <f ca="1">OFFSET(AY45,0,-1)+1</f>
        <v>3</v>
      </c>
      <c r="AZ45" s="583"/>
      <c r="BA45" s="583">
        <f ca="1">OFFSET(BA45,0,-2)+1</f>
        <v>4</v>
      </c>
      <c r="BB45" s="582">
        <f ca="1">OFFSET(BB45,0,-1)</f>
        <v>4</v>
      </c>
      <c r="BC45" s="583">
        <f ca="1">OFFSET(BC45,0,-1)+1</f>
        <v>5</v>
      </c>
      <c r="BD45" s="57"/>
      <c r="BE45" s="57"/>
      <c r="BF45" s="57"/>
      <c r="BG45" s="57"/>
      <c r="BH45" s="57"/>
      <c r="BI45" s="131">
        <v>0</v>
      </c>
    </row>
    <row r="46" ht="22" customHeight="1">
      <c r="A46" s="493" t="s">
        <v>248</v>
      </c>
      <c r="B46" s="493"/>
      <c r="C46" s="493"/>
      <c r="D46" s="493"/>
      <c r="E46" s="494">
        <v>1</v>
      </c>
      <c r="F46" s="493"/>
      <c r="G46" s="493"/>
      <c r="H46" s="493"/>
      <c r="I46" s="493"/>
      <c r="J46" s="493"/>
      <c r="K46" s="493"/>
      <c r="L46" s="495"/>
      <c r="M46" s="496"/>
      <c r="N46" s="496"/>
      <c r="O46" s="496"/>
      <c r="P46" s="61"/>
      <c r="Q46" s="64"/>
      <c r="R46" s="497"/>
      <c r="S46" s="498">
        <f>INDEX(PT_DIFFERENTIATION_NUM_NTAR,MATCH(A46,PT_DIFFERENTIATION_NTAR_ID,0))</f>
        <v>0</v>
      </c>
      <c r="T46" s="499" t="s">
        <v>123</v>
      </c>
      <c r="U46" s="500"/>
      <c r="V46" s="502"/>
      <c r="W46" s="502"/>
      <c r="X46" s="502"/>
      <c r="Y46" s="502"/>
      <c r="Z46" s="502"/>
      <c r="AA46" s="502"/>
      <c r="AB46" s="502"/>
      <c r="AC46" s="503"/>
      <c r="AD46" s="501" t="str">
        <f>INDEX(PT_DIFFERENTIATION_NTAR,MATCH(A46,PT_DIFFERENTIATION_NTAR_ID,0))</f>
        <v/>
      </c>
      <c r="AE46" s="502"/>
      <c r="AF46" s="502"/>
      <c r="AG46" s="502"/>
      <c r="AH46" s="502"/>
      <c r="AI46" s="502"/>
      <c r="AJ46" s="502"/>
      <c r="AK46" s="502"/>
      <c r="AL46" s="502"/>
      <c r="AM46" s="502"/>
      <c r="AN46" s="502"/>
      <c r="AO46" s="502"/>
      <c r="AP46" s="502"/>
      <c r="AQ46" s="502"/>
      <c r="AR46" s="502"/>
      <c r="AS46" s="502"/>
      <c r="AT46" s="502"/>
      <c r="AU46" s="502"/>
      <c r="AV46" s="502"/>
      <c r="AW46" s="502"/>
      <c r="AX46" s="502"/>
      <c r="AY46" s="502"/>
      <c r="AZ46" s="502"/>
      <c r="BA46" s="502"/>
      <c r="BB46" s="503"/>
      <c r="BC46"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34"/>
        <v xml:space="preserve">Наименование тарифа</v>
      </c>
      <c r="BG46" s="129"/>
      <c r="BH46" s="129"/>
      <c r="BI46" s="50">
        <v>21</v>
      </c>
    </row>
    <row r="47" ht="22" customHeight="1">
      <c r="A47" s="493" t="s">
        <v>248</v>
      </c>
      <c r="B47" s="493" t="s">
        <v>249</v>
      </c>
      <c r="C47" s="493"/>
      <c r="D47" s="493"/>
      <c r="E47" s="505"/>
      <c r="F47" s="494">
        <v>1</v>
      </c>
      <c r="G47" s="493"/>
      <c r="H47" s="493"/>
      <c r="I47" s="493"/>
      <c r="J47" s="493"/>
      <c r="K47" s="493"/>
      <c r="L47" s="495"/>
      <c r="M47" s="496"/>
      <c r="N47" s="496"/>
      <c r="O47" s="496"/>
      <c r="P47" s="113"/>
      <c r="Q47" s="643"/>
      <c r="R47" s="507"/>
      <c r="S47" s="498" t="str">
        <f>INDEX(PT_DIFFERENTIATION_NUM_TER,MATCH(B47,PT_DIFFERENTIATION_TER_ID,0))</f>
        <v>.</v>
      </c>
      <c r="T47" s="508" t="s">
        <v>399</v>
      </c>
      <c r="U47" s="500"/>
      <c r="V47" s="502"/>
      <c r="W47" s="502"/>
      <c r="X47" s="502"/>
      <c r="Y47" s="502"/>
      <c r="Z47" s="502"/>
      <c r="AA47" s="502"/>
      <c r="AB47" s="502"/>
      <c r="AC47" s="503"/>
      <c r="AD47" s="501" t="str">
        <f>INDEX(PT_DIFFERENTIATION_TER,MATCH(B47,PT_DIFFERENTIATION_TER_ID,0))</f>
        <v/>
      </c>
      <c r="AE47" s="502"/>
      <c r="AF47" s="502"/>
      <c r="AG47" s="502"/>
      <c r="AH47" s="502"/>
      <c r="AI47" s="502"/>
      <c r="AJ47" s="502"/>
      <c r="AK47" s="502"/>
      <c r="AL47" s="502"/>
      <c r="AM47" s="502"/>
      <c r="AN47" s="502"/>
      <c r="AO47" s="502"/>
      <c r="AP47" s="502"/>
      <c r="AQ47" s="502"/>
      <c r="AR47" s="502"/>
      <c r="AS47" s="502"/>
      <c r="AT47" s="502"/>
      <c r="AU47" s="502"/>
      <c r="AV47" s="502"/>
      <c r="AW47" s="502"/>
      <c r="AX47" s="502"/>
      <c r="AY47" s="502"/>
      <c r="AZ47" s="502"/>
      <c r="BA47" s="502"/>
      <c r="BB47" s="503"/>
      <c r="BC47" s="504" t="s">
        <v>400</v>
      </c>
      <c r="BE47" s="129"/>
      <c r="BF47" s="129" t="str">
        <f t="shared" si="34"/>
        <v xml:space="preserve">Территория действия тарифа</v>
      </c>
      <c r="BG47" s="129"/>
      <c r="BH47" s="129"/>
      <c r="BI47" s="50">
        <v>21</v>
      </c>
    </row>
    <row r="48" ht="43.049999999999997" customHeight="1">
      <c r="A48" s="493" t="s">
        <v>248</v>
      </c>
      <c r="B48" s="493" t="s">
        <v>249</v>
      </c>
      <c r="C48" s="493" t="s">
        <v>250</v>
      </c>
      <c r="D48" s="493"/>
      <c r="E48" s="505"/>
      <c r="F48" s="505"/>
      <c r="G48" s="494">
        <v>1</v>
      </c>
      <c r="H48" s="493"/>
      <c r="I48" s="493"/>
      <c r="J48" s="493"/>
      <c r="K48" s="493"/>
      <c r="L48" s="495"/>
      <c r="M48" s="496"/>
      <c r="N48" s="496"/>
      <c r="O48" s="496"/>
      <c r="P48" s="135"/>
      <c r="Q48" s="643"/>
      <c r="R48" s="507"/>
      <c r="S48" s="498" t="str">
        <f>INDEX(PT_DIFFERENTIATION_NUM_CS,MATCH(C48,PT_DIFFERENTIATION_CS_ID,0))</f>
        <v>..</v>
      </c>
      <c r="T48" s="510" t="s">
        <v>480</v>
      </c>
      <c r="U48" s="500"/>
      <c r="V48" s="502"/>
      <c r="W48" s="502"/>
      <c r="X48" s="502"/>
      <c r="Y48" s="502"/>
      <c r="Z48" s="502"/>
      <c r="AA48" s="502"/>
      <c r="AB48" s="502"/>
      <c r="AC48" s="503"/>
      <c r="AD48" s="501" t="str">
        <f>INDEX(PT_DIFFERENTIATION_CS,MATCH(C48,PT_DIFFERENTIATION_CS_ID,0))</f>
        <v/>
      </c>
      <c r="AE48" s="502"/>
      <c r="AF48" s="502"/>
      <c r="AG48" s="502"/>
      <c r="AH48" s="502"/>
      <c r="AI48" s="502"/>
      <c r="AJ48" s="502"/>
      <c r="AK48" s="502"/>
      <c r="AL48" s="502"/>
      <c r="AM48" s="502"/>
      <c r="AN48" s="502"/>
      <c r="AO48" s="502"/>
      <c r="AP48" s="502"/>
      <c r="AQ48" s="502"/>
      <c r="AR48" s="502"/>
      <c r="AS48" s="502"/>
      <c r="AT48" s="502"/>
      <c r="AU48" s="502"/>
      <c r="AV48" s="502"/>
      <c r="AW48" s="502"/>
      <c r="AX48" s="502"/>
      <c r="AY48" s="502"/>
      <c r="AZ48" s="502"/>
      <c r="BA48" s="502"/>
      <c r="BB48" s="503"/>
      <c r="BC48" s="504" t="s">
        <v>481</v>
      </c>
      <c r="BE48" s="129"/>
      <c r="BF48" s="129" t="str">
        <f t="shared" si="34"/>
        <v xml:space="preserve">Наименование централизованной системы холодного водоснабжения</v>
      </c>
      <c r="BG48" s="129"/>
      <c r="BH48" s="129"/>
      <c r="BI48" s="50">
        <v>41</v>
      </c>
    </row>
    <row r="49" s="57" customFormat="1" ht="0" customHeight="1">
      <c r="A49" s="133" t="s">
        <v>248</v>
      </c>
      <c r="B49" s="133" t="s">
        <v>249</v>
      </c>
      <c r="C49" s="133" t="s">
        <v>250</v>
      </c>
      <c r="D49" s="133" t="s">
        <v>517</v>
      </c>
      <c r="E49" s="505"/>
      <c r="F49" s="505"/>
      <c r="G49" s="505"/>
      <c r="H49" s="494">
        <v>1</v>
      </c>
      <c r="I49" s="133"/>
      <c r="J49" s="133"/>
      <c r="K49" s="133"/>
      <c r="L49" s="212"/>
      <c r="M49" s="478"/>
      <c r="N49" s="478"/>
      <c r="O49" s="478"/>
      <c r="P49" s="751"/>
      <c r="Q49" s="752"/>
      <c r="R49" s="518"/>
      <c r="S49" s="366"/>
      <c r="T49" s="753"/>
      <c r="U49" s="601"/>
      <c r="V49" s="603"/>
      <c r="W49" s="603"/>
      <c r="X49" s="603"/>
      <c r="Y49" s="603"/>
      <c r="Z49" s="603"/>
      <c r="AA49" s="603"/>
      <c r="AB49" s="603"/>
      <c r="AC49" s="604"/>
      <c r="AD49" s="602"/>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4"/>
      <c r="BC49" s="605" t="s">
        <v>404</v>
      </c>
      <c r="BE49" s="129"/>
      <c r="BF49" s="129" t="str">
        <f t="shared" si="34"/>
        <v/>
      </c>
      <c r="BG49" s="129"/>
      <c r="BH49" s="129"/>
      <c r="BI49" s="57">
        <v>0</v>
      </c>
    </row>
    <row r="50" s="57" customFormat="1" ht="0" customHeight="1">
      <c r="A50" s="133" t="s">
        <v>248</v>
      </c>
      <c r="B50" s="133" t="s">
        <v>249</v>
      </c>
      <c r="C50" s="133" t="s">
        <v>250</v>
      </c>
      <c r="D50" s="133" t="s">
        <v>517</v>
      </c>
      <c r="E50" s="505"/>
      <c r="F50" s="505"/>
      <c r="G50" s="505"/>
      <c r="H50" s="505"/>
      <c r="I50" s="512" t="str">
        <f>S49&amp;".1"</f>
        <v>.1</v>
      </c>
      <c r="J50" s="133"/>
      <c r="K50" s="133"/>
      <c r="L50" s="212" t="s">
        <v>405</v>
      </c>
      <c r="M50" s="610"/>
      <c r="N50" s="610"/>
      <c r="O50" s="610"/>
      <c r="P50" s="132">
        <v>1</v>
      </c>
      <c r="Q50" s="132"/>
      <c r="R50" s="513"/>
      <c r="S50" s="366"/>
      <c r="T50" s="600"/>
      <c r="U50" s="601"/>
      <c r="V50" s="603"/>
      <c r="W50" s="603"/>
      <c r="X50" s="603"/>
      <c r="Y50" s="603"/>
      <c r="Z50" s="603"/>
      <c r="AA50" s="603"/>
      <c r="AB50" s="603"/>
      <c r="AC50" s="604"/>
      <c r="AD50" s="602"/>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4"/>
      <c r="BC50" s="605"/>
      <c r="BE50" s="129"/>
      <c r="BF50" s="129" t="str">
        <f t="shared" si="34"/>
        <v/>
      </c>
      <c r="BG50" s="129"/>
      <c r="BH50" s="129"/>
      <c r="BI50" s="57">
        <v>0</v>
      </c>
    </row>
    <row r="51" s="57" customFormat="1" ht="0" customHeight="1">
      <c r="A51" s="133" t="s">
        <v>248</v>
      </c>
      <c r="B51" s="133" t="s">
        <v>249</v>
      </c>
      <c r="C51" s="133" t="s">
        <v>250</v>
      </c>
      <c r="D51" s="133" t="s">
        <v>517</v>
      </c>
      <c r="E51" s="505"/>
      <c r="F51" s="505"/>
      <c r="G51" s="505"/>
      <c r="H51" s="505"/>
      <c r="I51" s="517"/>
      <c r="J51" s="512" t="str">
        <f>S49&amp;".1"</f>
        <v>.1</v>
      </c>
      <c r="K51" s="133"/>
      <c r="L51" s="212"/>
      <c r="M51" s="610"/>
      <c r="N51" s="610"/>
      <c r="O51" s="610"/>
      <c r="P51" s="132"/>
      <c r="Q51" s="132">
        <v>1</v>
      </c>
      <c r="R51" s="518"/>
      <c r="S51" s="366"/>
      <c r="T51" s="644"/>
      <c r="U51" s="601"/>
      <c r="V51" s="603"/>
      <c r="W51" s="603"/>
      <c r="X51" s="603"/>
      <c r="Y51" s="603"/>
      <c r="Z51" s="603"/>
      <c r="AA51" s="603"/>
      <c r="AB51" s="603"/>
      <c r="AC51" s="604"/>
      <c r="AD51" s="602"/>
      <c r="AE51" s="603"/>
      <c r="AF51" s="603"/>
      <c r="AG51" s="603"/>
      <c r="AH51" s="603"/>
      <c r="AI51" s="603"/>
      <c r="AJ51" s="603"/>
      <c r="AK51" s="603"/>
      <c r="AL51" s="603"/>
      <c r="AM51" s="603"/>
      <c r="AN51" s="760"/>
      <c r="AO51" s="760"/>
      <c r="AP51" s="603"/>
      <c r="AQ51" s="603"/>
      <c r="AR51" s="603"/>
      <c r="AS51" s="603"/>
      <c r="AT51" s="603"/>
      <c r="AU51" s="603"/>
      <c r="AV51" s="603"/>
      <c r="AW51" s="603"/>
      <c r="AX51" s="603"/>
      <c r="AY51" s="603"/>
      <c r="AZ51" s="603"/>
      <c r="BA51" s="603"/>
      <c r="BB51" s="604"/>
      <c r="BC51" s="605"/>
      <c r="BE51" s="129"/>
      <c r="BF51" s="129" t="str">
        <f t="shared" si="34"/>
        <v/>
      </c>
      <c r="BG51" s="129"/>
      <c r="BH51" s="129"/>
      <c r="BI51" s="57">
        <v>0</v>
      </c>
    </row>
    <row r="52" ht="11.5" customHeight="1">
      <c r="A52" s="493" t="s">
        <v>248</v>
      </c>
      <c r="B52" s="493" t="s">
        <v>249</v>
      </c>
      <c r="C52" s="493" t="s">
        <v>250</v>
      </c>
      <c r="D52" s="493" t="s">
        <v>517</v>
      </c>
      <c r="E52" s="505"/>
      <c r="F52" s="505"/>
      <c r="G52" s="505"/>
      <c r="H52" s="505"/>
      <c r="I52" s="517"/>
      <c r="J52" s="517"/>
      <c r="K52" s="512" t="str">
        <f>S48&amp;".1"</f>
        <v>...1</v>
      </c>
      <c r="L52" s="495"/>
      <c r="P52" s="132"/>
      <c r="Q52" s="132"/>
      <c r="R52" s="518">
        <v>1</v>
      </c>
      <c r="S52" s="612" t="str">
        <f>$K52</f>
        <v>...1</v>
      </c>
      <c r="T52" s="746"/>
      <c r="U52" s="500"/>
      <c r="V52" s="521"/>
      <c r="W52" s="523"/>
      <c r="X52" s="521"/>
      <c r="Y52" s="523"/>
      <c r="Z52" s="524"/>
      <c r="AA52" s="224" t="s">
        <v>66</v>
      </c>
      <c r="AB52" s="524"/>
      <c r="AC52" s="224" t="s">
        <v>66</v>
      </c>
      <c r="AD52" s="296" t="s">
        <v>66</v>
      </c>
      <c r="AE52" s="647"/>
      <c r="AF52" s="360">
        <v>1</v>
      </c>
      <c r="AG52" s="747"/>
      <c r="AH52" s="224" t="s">
        <v>66</v>
      </c>
      <c r="AI52" s="647"/>
      <c r="AJ52" s="360">
        <v>1</v>
      </c>
      <c r="AK52" s="87" t="s">
        <v>28</v>
      </c>
      <c r="AL52" s="224" t="s">
        <v>66</v>
      </c>
      <c r="AM52" s="321"/>
      <c r="AN52" s="360">
        <v>1</v>
      </c>
      <c r="AO52" s="754"/>
      <c r="AP52" s="755" t="s">
        <v>66</v>
      </c>
      <c r="AQ52" s="648"/>
      <c r="AR52" s="360">
        <v>1</v>
      </c>
      <c r="AS52" s="95" t="s">
        <v>28</v>
      </c>
      <c r="AT52" s="521"/>
      <c r="AU52" s="523"/>
      <c r="AV52" s="521"/>
      <c r="AW52" s="523"/>
      <c r="AX52" s="524"/>
      <c r="AY52" s="224" t="s">
        <v>66</v>
      </c>
      <c r="AZ52" s="524"/>
      <c r="BA52" s="224" t="s">
        <v>66</v>
      </c>
      <c r="BB52" s="585"/>
      <c r="BC52" s="525" t="s">
        <v>503</v>
      </c>
      <c r="BE52" s="129"/>
      <c r="BF52" s="129" t="str">
        <f t="shared" si="34"/>
        <v/>
      </c>
      <c r="BG52" s="129"/>
      <c r="BH52" s="129"/>
      <c r="BI52" s="50">
        <v>11</v>
      </c>
    </row>
    <row r="53" ht="11.5" customHeight="1">
      <c r="A53" s="493"/>
      <c r="B53" s="493"/>
      <c r="C53" s="493"/>
      <c r="D53" s="493"/>
      <c r="E53" s="505"/>
      <c r="F53" s="505"/>
      <c r="G53" s="505"/>
      <c r="H53" s="505"/>
      <c r="I53" s="517"/>
      <c r="J53" s="517"/>
      <c r="K53" s="512"/>
      <c r="L53" s="495"/>
      <c r="P53" s="132"/>
      <c r="Q53" s="132"/>
      <c r="R53" s="518"/>
      <c r="S53" s="649"/>
      <c r="T53" s="756"/>
      <c r="U53" s="500"/>
      <c r="V53" s="636"/>
      <c r="W53" s="653"/>
      <c r="X53" s="636"/>
      <c r="Y53" s="653"/>
      <c r="Z53" s="636"/>
      <c r="AA53" s="636"/>
      <c r="AB53" s="636"/>
      <c r="AC53" s="636"/>
      <c r="AD53" s="301"/>
      <c r="AE53" s="647"/>
      <c r="AF53" s="360"/>
      <c r="AG53" s="747"/>
      <c r="AH53" s="224"/>
      <c r="AI53" s="647"/>
      <c r="AJ53" s="360"/>
      <c r="AK53" s="87"/>
      <c r="AL53" s="224"/>
      <c r="AM53" s="327"/>
      <c r="AN53" s="360"/>
      <c r="AO53" s="754"/>
      <c r="AP53" s="757"/>
      <c r="AQ53" s="652"/>
      <c r="AR53" s="177"/>
      <c r="AS53" s="177" t="s">
        <v>504</v>
      </c>
      <c r="AT53" s="636"/>
      <c r="AU53" s="653"/>
      <c r="AV53" s="636"/>
      <c r="AW53" s="653"/>
      <c r="AX53" s="636"/>
      <c r="AY53" s="636"/>
      <c r="AZ53" s="636"/>
      <c r="BA53" s="636"/>
      <c r="BB53" s="651"/>
      <c r="BC53" s="528"/>
      <c r="BE53" s="129"/>
      <c r="BF53" s="129"/>
      <c r="BG53" s="129"/>
      <c r="BH53" s="129"/>
      <c r="BI53" s="50">
        <v>11</v>
      </c>
    </row>
    <row r="54" ht="11.5" customHeight="1">
      <c r="A54" s="493" t="s">
        <v>248</v>
      </c>
      <c r="B54" s="493"/>
      <c r="C54" s="493"/>
      <c r="D54" s="493"/>
      <c r="E54" s="505"/>
      <c r="F54" s="505"/>
      <c r="G54" s="505"/>
      <c r="H54" s="505"/>
      <c r="I54" s="517"/>
      <c r="J54" s="517"/>
      <c r="K54" s="512"/>
      <c r="L54" s="495"/>
      <c r="P54" s="132"/>
      <c r="Q54" s="132"/>
      <c r="R54" s="518"/>
      <c r="S54" s="649"/>
      <c r="T54" s="756"/>
      <c r="U54" s="500"/>
      <c r="V54" s="636"/>
      <c r="W54" s="653"/>
      <c r="X54" s="636"/>
      <c r="Y54" s="653"/>
      <c r="Z54" s="636"/>
      <c r="AA54" s="636"/>
      <c r="AB54" s="636"/>
      <c r="AC54" s="636"/>
      <c r="AD54" s="301"/>
      <c r="AE54" s="647"/>
      <c r="AF54" s="360"/>
      <c r="AG54" s="747"/>
      <c r="AH54" s="224"/>
      <c r="AI54" s="647"/>
      <c r="AJ54" s="360"/>
      <c r="AK54" s="87"/>
      <c r="AL54" s="224"/>
      <c r="AM54" s="652"/>
      <c r="AN54" s="758"/>
      <c r="AO54" s="758" t="s">
        <v>505</v>
      </c>
      <c r="AP54" s="177"/>
      <c r="AQ54" s="177"/>
      <c r="AR54" s="177"/>
      <c r="AS54" s="636"/>
      <c r="AT54" s="636"/>
      <c r="AU54" s="653"/>
      <c r="AV54" s="636"/>
      <c r="AW54" s="653"/>
      <c r="AX54" s="636"/>
      <c r="AY54" s="636"/>
      <c r="AZ54" s="636"/>
      <c r="BA54" s="636"/>
      <c r="BB54" s="651"/>
      <c r="BC54" s="528"/>
      <c r="BE54" s="129"/>
      <c r="BF54" s="129"/>
      <c r="BG54" s="129"/>
      <c r="BH54" s="129"/>
      <c r="BI54" s="50">
        <v>11</v>
      </c>
    </row>
    <row r="55" ht="11.5" customHeight="1">
      <c r="A55" s="493" t="s">
        <v>248</v>
      </c>
      <c r="B55" s="493"/>
      <c r="C55" s="493"/>
      <c r="D55" s="493"/>
      <c r="E55" s="505"/>
      <c r="F55" s="505"/>
      <c r="G55" s="505"/>
      <c r="H55" s="505"/>
      <c r="I55" s="517"/>
      <c r="J55" s="517"/>
      <c r="K55" s="512"/>
      <c r="L55" s="495"/>
      <c r="P55" s="132"/>
      <c r="Q55" s="132"/>
      <c r="R55" s="518"/>
      <c r="S55" s="649"/>
      <c r="T55" s="756"/>
      <c r="U55" s="500"/>
      <c r="V55" s="636"/>
      <c r="W55" s="653"/>
      <c r="X55" s="636"/>
      <c r="Y55" s="653"/>
      <c r="Z55" s="636"/>
      <c r="AA55" s="636"/>
      <c r="AB55" s="636"/>
      <c r="AC55" s="636"/>
      <c r="AD55" s="301"/>
      <c r="AE55" s="647"/>
      <c r="AF55" s="360"/>
      <c r="AG55" s="747"/>
      <c r="AH55" s="224"/>
      <c r="AI55" s="655"/>
      <c r="AJ55" s="172"/>
      <c r="AK55" s="455" t="s">
        <v>506</v>
      </c>
      <c r="AL55" s="636"/>
      <c r="AM55" s="636"/>
      <c r="AN55" s="636"/>
      <c r="AO55" s="636"/>
      <c r="AP55" s="636"/>
      <c r="AQ55" s="636"/>
      <c r="AR55" s="636"/>
      <c r="AS55" s="636"/>
      <c r="AT55" s="636"/>
      <c r="AU55" s="653"/>
      <c r="AV55" s="636"/>
      <c r="AW55" s="653"/>
      <c r="AX55" s="636"/>
      <c r="AY55" s="636"/>
      <c r="AZ55" s="636"/>
      <c r="BA55" s="636"/>
      <c r="BB55" s="651"/>
      <c r="BC55" s="528"/>
      <c r="BE55" s="129"/>
      <c r="BF55" s="129"/>
      <c r="BG55" s="129"/>
      <c r="BH55" s="129"/>
      <c r="BI55" s="50">
        <v>11</v>
      </c>
    </row>
    <row r="56" ht="11.5" customHeight="1">
      <c r="A56" s="493" t="s">
        <v>248</v>
      </c>
      <c r="B56" s="493" t="s">
        <v>249</v>
      </c>
      <c r="C56" s="493" t="s">
        <v>250</v>
      </c>
      <c r="D56" s="493" t="s">
        <v>517</v>
      </c>
      <c r="E56" s="505"/>
      <c r="F56" s="505"/>
      <c r="G56" s="505"/>
      <c r="H56" s="505"/>
      <c r="I56" s="517"/>
      <c r="J56" s="517"/>
      <c r="K56" s="512"/>
      <c r="L56" s="495"/>
      <c r="P56" s="132"/>
      <c r="Q56" s="132"/>
      <c r="R56" s="518"/>
      <c r="S56" s="622"/>
      <c r="T56" s="759"/>
      <c r="U56" s="500"/>
      <c r="V56" s="636"/>
      <c r="W56" s="637" t="str">
        <f>Z52&amp;"-"&amp;AB52</f>
        <v>-</v>
      </c>
      <c r="X56" s="636"/>
      <c r="Y56" s="637" t="str">
        <f>AB52&amp;"-"&amp;AD52</f>
        <v>-да</v>
      </c>
      <c r="Z56" s="636"/>
      <c r="AA56" s="636"/>
      <c r="AB56" s="636"/>
      <c r="AC56" s="636"/>
      <c r="AD56" s="220"/>
      <c r="AE56" s="658"/>
      <c r="AF56" s="659"/>
      <c r="AG56" s="177" t="s">
        <v>507</v>
      </c>
      <c r="AH56" s="636"/>
      <c r="AI56" s="636"/>
      <c r="AJ56" s="636"/>
      <c r="AK56" s="636"/>
      <c r="AL56" s="636"/>
      <c r="AM56" s="636"/>
      <c r="AN56" s="636"/>
      <c r="AO56" s="636"/>
      <c r="AP56" s="636"/>
      <c r="AQ56" s="636"/>
      <c r="AR56" s="636"/>
      <c r="AS56" s="636"/>
      <c r="AT56" s="636"/>
      <c r="AU56" s="637" t="str">
        <f>AX52&amp;"-"&amp;AZ52</f>
        <v>-</v>
      </c>
      <c r="AV56" s="636"/>
      <c r="AW56" s="637" t="str">
        <f>AZ52&amp;"-"&amp;BB52</f>
        <v>-</v>
      </c>
      <c r="AX56" s="636"/>
      <c r="AY56" s="636"/>
      <c r="AZ56" s="636"/>
      <c r="BA56" s="636"/>
      <c r="BB56" s="657" t="str">
        <f>BE52&amp;"-"&amp;BG52</f>
        <v>-</v>
      </c>
      <c r="BC56" s="528"/>
      <c r="BE56" s="129"/>
      <c r="BF56" s="129" t="str">
        <f t="shared" si="34"/>
        <v/>
      </c>
      <c r="BG56" s="129"/>
      <c r="BH56" s="129"/>
      <c r="BI56" s="50">
        <v>11</v>
      </c>
    </row>
    <row r="57" ht="11.5" customHeight="1">
      <c r="A57" s="493" t="s">
        <v>248</v>
      </c>
      <c r="B57" s="493" t="s">
        <v>249</v>
      </c>
      <c r="C57" s="493" t="s">
        <v>250</v>
      </c>
      <c r="D57" s="493" t="s">
        <v>517</v>
      </c>
      <c r="E57" s="505"/>
      <c r="F57" s="505"/>
      <c r="G57" s="505"/>
      <c r="H57" s="505"/>
      <c r="I57" s="517"/>
      <c r="J57" s="512"/>
      <c r="K57" s="493"/>
      <c r="L57" s="495"/>
      <c r="P57" s="132"/>
      <c r="Q57" s="132"/>
      <c r="R57" s="513"/>
      <c r="S57" s="529"/>
      <c r="T57" s="533" t="s">
        <v>467</v>
      </c>
      <c r="U57" s="214"/>
      <c r="V57" s="214"/>
      <c r="W57" s="214"/>
      <c r="X57" s="214"/>
      <c r="Y57" s="214"/>
      <c r="Z57" s="214"/>
      <c r="AA57" s="214"/>
      <c r="AB57" s="214"/>
      <c r="AC57" s="531"/>
      <c r="AD57" s="687"/>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31"/>
      <c r="BC57" s="532"/>
      <c r="BE57" s="129"/>
      <c r="BF57" s="129" t="str">
        <f t="shared" si="34"/>
        <v xml:space="preserve">Добавить строку</v>
      </c>
      <c r="BG57" s="129"/>
      <c r="BH57" s="129"/>
      <c r="BI57" s="50">
        <v>11</v>
      </c>
    </row>
    <row r="58" s="57" customFormat="1" ht="0" customHeight="1">
      <c r="A58" s="133" t="s">
        <v>248</v>
      </c>
      <c r="B58" s="133" t="s">
        <v>249</v>
      </c>
      <c r="C58" s="133" t="s">
        <v>250</v>
      </c>
      <c r="D58" s="133" t="s">
        <v>517</v>
      </c>
      <c r="E58" s="505"/>
      <c r="F58" s="505"/>
      <c r="G58" s="505"/>
      <c r="H58" s="505"/>
      <c r="I58" s="512"/>
      <c r="J58" s="133"/>
      <c r="K58" s="133"/>
      <c r="L58" s="212"/>
      <c r="M58" s="610"/>
      <c r="N58" s="610"/>
      <c r="O58" s="610"/>
      <c r="P58" s="132"/>
      <c r="Q58" s="132"/>
      <c r="R58" s="513"/>
      <c r="S58" s="606"/>
      <c r="T58" s="607"/>
      <c r="U58" s="608"/>
      <c r="V58" s="608"/>
      <c r="W58" s="608"/>
      <c r="X58" s="608"/>
      <c r="Y58" s="608"/>
      <c r="Z58" s="608"/>
      <c r="AA58" s="608"/>
      <c r="AB58" s="608"/>
      <c r="AC58" s="608"/>
      <c r="AD58" s="608"/>
      <c r="AE58" s="608"/>
      <c r="AF58" s="608"/>
      <c r="AG58" s="608"/>
      <c r="AH58" s="608"/>
      <c r="AI58" s="608"/>
      <c r="AJ58" s="608"/>
      <c r="AK58" s="608"/>
      <c r="AL58" s="608"/>
      <c r="AM58" s="608"/>
      <c r="AN58" s="608"/>
      <c r="AO58" s="608"/>
      <c r="AP58" s="608"/>
      <c r="AQ58" s="608"/>
      <c r="AR58" s="608"/>
      <c r="AS58" s="608"/>
      <c r="AT58" s="608"/>
      <c r="AU58" s="608"/>
      <c r="AV58" s="608"/>
      <c r="AW58" s="608"/>
      <c r="AX58" s="608"/>
      <c r="AY58" s="608"/>
      <c r="AZ58" s="608"/>
      <c r="BA58" s="608"/>
      <c r="BB58" s="608"/>
      <c r="BC58" s="609"/>
      <c r="BE58" s="129"/>
      <c r="BF58" s="129" t="str">
        <f t="shared" si="34"/>
        <v/>
      </c>
      <c r="BG58" s="129"/>
      <c r="BH58" s="129"/>
      <c r="BI58" s="57">
        <v>0</v>
      </c>
    </row>
    <row r="59" s="57" customFormat="1" ht="0" customHeight="1">
      <c r="A59" s="133" t="s">
        <v>248</v>
      </c>
      <c r="B59" s="133" t="s">
        <v>249</v>
      </c>
      <c r="C59" s="133" t="s">
        <v>250</v>
      </c>
      <c r="D59" s="133" t="s">
        <v>517</v>
      </c>
      <c r="E59" s="505"/>
      <c r="F59" s="505"/>
      <c r="G59" s="505"/>
      <c r="H59" s="494"/>
      <c r="I59" s="133"/>
      <c r="J59" s="133"/>
      <c r="K59" s="133"/>
      <c r="L59" s="212"/>
      <c r="M59" s="478"/>
      <c r="N59" s="478"/>
      <c r="O59" s="57"/>
      <c r="P59" s="167"/>
      <c r="Q59" s="538"/>
      <c r="R59" s="660"/>
      <c r="S59" s="606"/>
      <c r="T59" s="607"/>
      <c r="U59" s="608"/>
      <c r="V59" s="608"/>
      <c r="W59" s="608"/>
      <c r="X59" s="608"/>
      <c r="Y59" s="608"/>
      <c r="Z59" s="608"/>
      <c r="AA59" s="608"/>
      <c r="AB59" s="608"/>
      <c r="AC59" s="608"/>
      <c r="AD59" s="608"/>
      <c r="AE59" s="608"/>
      <c r="AF59" s="608"/>
      <c r="AG59" s="608"/>
      <c r="AH59" s="608"/>
      <c r="AI59" s="608"/>
      <c r="AJ59" s="608"/>
      <c r="AK59" s="608"/>
      <c r="AL59" s="608"/>
      <c r="AM59" s="608"/>
      <c r="AN59" s="608"/>
      <c r="AO59" s="608"/>
      <c r="AP59" s="608"/>
      <c r="AQ59" s="608"/>
      <c r="AR59" s="608"/>
      <c r="AS59" s="608"/>
      <c r="AT59" s="608"/>
      <c r="AU59" s="608"/>
      <c r="AV59" s="608"/>
      <c r="AW59" s="608"/>
      <c r="AX59" s="608"/>
      <c r="AY59" s="608"/>
      <c r="AZ59" s="608"/>
      <c r="BA59" s="608"/>
      <c r="BB59" s="608"/>
      <c r="BC59" s="609"/>
      <c r="BE59" s="129"/>
      <c r="BF59" s="129" t="str">
        <f t="shared" si="34"/>
        <v/>
      </c>
      <c r="BG59" s="129"/>
      <c r="BH59" s="129"/>
      <c r="BI59" s="57">
        <v>0</v>
      </c>
    </row>
    <row r="60" s="57" customFormat="1" ht="0" customHeight="1">
      <c r="A60" s="133" t="s">
        <v>248</v>
      </c>
      <c r="B60" s="133" t="s">
        <v>249</v>
      </c>
      <c r="C60" s="133" t="s">
        <v>250</v>
      </c>
      <c r="D60" s="133"/>
      <c r="E60" s="505"/>
      <c r="F60" s="505"/>
      <c r="G60" s="494"/>
      <c r="H60" s="133"/>
      <c r="I60" s="133"/>
      <c r="J60" s="133"/>
      <c r="K60" s="133"/>
      <c r="L60" s="212"/>
      <c r="M60" s="478"/>
      <c r="N60" s="478"/>
      <c r="P60" s="167"/>
      <c r="Q60" s="538"/>
      <c r="R60" s="167"/>
      <c r="S60" s="543"/>
      <c r="T60" s="546"/>
      <c r="U60" s="545"/>
      <c r="V60" s="545"/>
      <c r="W60" s="545"/>
      <c r="X60" s="545"/>
      <c r="Y60" s="545"/>
      <c r="Z60" s="545"/>
      <c r="AA60" s="545"/>
      <c r="AB60" s="545"/>
      <c r="AC60" s="545"/>
      <c r="AD60" s="545"/>
      <c r="AE60" s="545"/>
      <c r="AF60" s="545"/>
      <c r="AG60" s="545"/>
      <c r="AH60" s="545"/>
      <c r="AI60" s="545"/>
      <c r="AJ60" s="545"/>
      <c r="AK60" s="545"/>
      <c r="AL60" s="545"/>
      <c r="AM60" s="545"/>
      <c r="AN60" s="545"/>
      <c r="AO60" s="545"/>
      <c r="AP60" s="545"/>
      <c r="AQ60" s="545"/>
      <c r="AR60" s="545"/>
      <c r="AS60" s="545"/>
      <c r="AT60" s="545"/>
      <c r="AU60" s="545"/>
      <c r="AV60" s="545"/>
      <c r="AW60" s="545"/>
      <c r="AX60" s="545"/>
      <c r="AY60" s="545"/>
      <c r="AZ60" s="545"/>
      <c r="BA60" s="545"/>
      <c r="BB60" s="545"/>
      <c r="BC60" s="545"/>
      <c r="BE60" s="129"/>
      <c r="BF60" s="129" t="str">
        <f t="shared" si="34"/>
        <v/>
      </c>
      <c r="BG60" s="129"/>
      <c r="BH60" s="129"/>
      <c r="BI60" s="57">
        <v>0</v>
      </c>
    </row>
    <row r="61" s="57" customFormat="1" ht="0" customHeight="1">
      <c r="A61" s="133" t="s">
        <v>248</v>
      </c>
      <c r="B61" s="133" t="s">
        <v>249</v>
      </c>
      <c r="C61" s="133"/>
      <c r="D61" s="133"/>
      <c r="E61" s="505"/>
      <c r="F61" s="494"/>
      <c r="G61" s="133"/>
      <c r="H61" s="133"/>
      <c r="I61" s="133"/>
      <c r="J61" s="133"/>
      <c r="K61" s="133"/>
      <c r="L61" s="212"/>
      <c r="M61" s="542"/>
      <c r="N61" s="542"/>
      <c r="P61" s="167"/>
      <c r="Q61" s="538"/>
      <c r="R61" s="167"/>
      <c r="S61" s="543"/>
      <c r="T61" s="546" t="s">
        <v>238</v>
      </c>
      <c r="U61" s="545"/>
      <c r="V61" s="545"/>
      <c r="W61" s="545"/>
      <c r="X61" s="545"/>
      <c r="Y61" s="545"/>
      <c r="Z61" s="545"/>
      <c r="AA61" s="545"/>
      <c r="AB61" s="545"/>
      <c r="AC61" s="545"/>
      <c r="AD61" s="545"/>
      <c r="AE61" s="545"/>
      <c r="AF61" s="545"/>
      <c r="AG61" s="545"/>
      <c r="AH61" s="545"/>
      <c r="AI61" s="545"/>
      <c r="AJ61" s="545"/>
      <c r="AK61" s="545"/>
      <c r="AL61" s="545"/>
      <c r="AM61" s="545"/>
      <c r="AN61" s="545"/>
      <c r="AO61" s="545"/>
      <c r="AP61" s="545"/>
      <c r="AQ61" s="545"/>
      <c r="AR61" s="545"/>
      <c r="AS61" s="545"/>
      <c r="AT61" s="545"/>
      <c r="AU61" s="545"/>
      <c r="AV61" s="545"/>
      <c r="AW61" s="545"/>
      <c r="AX61" s="545"/>
      <c r="AY61" s="545"/>
      <c r="AZ61" s="545"/>
      <c r="BA61" s="545"/>
      <c r="BB61" s="545"/>
      <c r="BC61" s="545"/>
      <c r="BE61" s="129"/>
      <c r="BF61" s="129" t="str">
        <f t="shared" si="34"/>
        <v xml:space="preserve">Добавить централизованную систему для дифференциации</v>
      </c>
      <c r="BG61" s="129"/>
      <c r="BH61" s="129"/>
      <c r="BI61" s="57">
        <v>0</v>
      </c>
    </row>
    <row r="62" s="57" customFormat="1" ht="0" customHeight="1">
      <c r="A62" s="133" t="s">
        <v>248</v>
      </c>
      <c r="B62" s="133"/>
      <c r="C62" s="133"/>
      <c r="D62" s="133"/>
      <c r="E62" s="494"/>
      <c r="F62" s="133"/>
      <c r="G62" s="133"/>
      <c r="H62" s="133"/>
      <c r="I62" s="133"/>
      <c r="J62" s="133"/>
      <c r="K62" s="133"/>
      <c r="L62" s="212"/>
      <c r="M62" s="542"/>
      <c r="N62" s="542"/>
      <c r="O62" s="57"/>
      <c r="P62" s="167"/>
      <c r="Q62" s="538"/>
      <c r="R62" s="167"/>
      <c r="S62" s="543"/>
      <c r="T62" s="546" t="s">
        <v>239</v>
      </c>
      <c r="U62" s="545"/>
      <c r="V62" s="545"/>
      <c r="W62" s="545"/>
      <c r="X62" s="545"/>
      <c r="Y62" s="545"/>
      <c r="Z62" s="545"/>
      <c r="AA62" s="545"/>
      <c r="AB62" s="545"/>
      <c r="AC62" s="545"/>
      <c r="AD62" s="545"/>
      <c r="AE62" s="545"/>
      <c r="AF62" s="545"/>
      <c r="AG62" s="545"/>
      <c r="AH62" s="545"/>
      <c r="AI62" s="545"/>
      <c r="AJ62" s="545"/>
      <c r="AK62" s="545"/>
      <c r="AL62" s="545"/>
      <c r="AM62" s="545"/>
      <c r="AN62" s="545"/>
      <c r="AO62" s="545"/>
      <c r="AP62" s="545"/>
      <c r="AQ62" s="545"/>
      <c r="AR62" s="545"/>
      <c r="AS62" s="545"/>
      <c r="AT62" s="545"/>
      <c r="AU62" s="545"/>
      <c r="AV62" s="545"/>
      <c r="AW62" s="545"/>
      <c r="AX62" s="545"/>
      <c r="AY62" s="545"/>
      <c r="AZ62" s="545"/>
      <c r="BA62" s="545"/>
      <c r="BB62" s="545"/>
      <c r="BC62" s="545"/>
      <c r="BE62" s="129"/>
      <c r="BF62" s="129" t="str">
        <f t="shared" si="34"/>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42"/>
      <c r="N63" s="542"/>
      <c r="P63" s="167"/>
      <c r="Q63" s="538"/>
      <c r="R63" s="167"/>
      <c r="S63" s="543"/>
      <c r="T63" s="546" t="s">
        <v>240</v>
      </c>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545"/>
      <c r="AY63" s="545"/>
      <c r="AZ63" s="545"/>
      <c r="BA63" s="545"/>
      <c r="BB63" s="545"/>
      <c r="BC63" s="545"/>
      <c r="BE63" s="129"/>
      <c r="BF63" s="129" t="str">
        <f t="shared" si="34"/>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90"/>
      <c r="T65" s="588"/>
      <c r="U65" s="588"/>
      <c r="V65" s="588"/>
      <c r="W65" s="588"/>
      <c r="X65" s="588"/>
      <c r="Y65" s="588"/>
      <c r="Z65" s="588"/>
      <c r="AA65" s="588"/>
      <c r="AB65" s="588"/>
      <c r="AC65" s="588"/>
      <c r="AD65" s="588"/>
      <c r="AE65" s="588"/>
      <c r="AF65" s="588"/>
      <c r="AG65" s="588"/>
      <c r="AH65" s="588"/>
      <c r="AI65" s="588"/>
      <c r="AJ65" s="588"/>
      <c r="AK65" s="588"/>
      <c r="AL65" s="588"/>
      <c r="AM65" s="588"/>
      <c r="AN65" s="588"/>
      <c r="AO65" s="588"/>
      <c r="AP65" s="588"/>
      <c r="AQ65" s="588"/>
      <c r="AR65" s="588"/>
      <c r="AS65" s="588"/>
      <c r="AT65" s="588"/>
      <c r="AU65" s="588"/>
      <c r="AV65" s="588"/>
      <c r="AW65" s="588"/>
      <c r="AX65" s="588"/>
      <c r="AY65" s="588"/>
      <c r="AZ65" s="588"/>
      <c r="BA65" s="588"/>
      <c r="BB65" s="588"/>
      <c r="BC65" s="588"/>
      <c r="BI65" s="50">
        <v>19</v>
      </c>
    </row>
    <row r="66" ht="14.65" customHeight="1">
      <c r="O66" s="53"/>
      <c r="T66" s="588"/>
      <c r="U66" s="588"/>
      <c r="V66" s="588"/>
      <c r="W66" s="588"/>
      <c r="X66" s="588"/>
      <c r="Y66" s="588"/>
      <c r="Z66" s="588"/>
      <c r="AA66" s="588"/>
      <c r="AB66" s="588"/>
      <c r="AC66" s="588"/>
      <c r="AD66" s="588"/>
      <c r="AE66" s="588"/>
      <c r="AF66" s="588"/>
      <c r="AG66" s="588"/>
      <c r="AH66" s="588"/>
      <c r="AI66" s="588"/>
      <c r="AJ66" s="588"/>
      <c r="AK66" s="588"/>
      <c r="AL66" s="588"/>
      <c r="AM66" s="588"/>
      <c r="AN66" s="588"/>
      <c r="AO66" s="588"/>
      <c r="AP66" s="588"/>
      <c r="AQ66" s="588"/>
      <c r="AR66" s="588"/>
      <c r="AS66" s="588"/>
      <c r="AT66" s="588"/>
      <c r="AU66" s="588"/>
      <c r="AV66" s="588"/>
      <c r="AW66" s="588"/>
      <c r="AX66" s="588"/>
      <c r="AY66" s="588"/>
      <c r="AZ66" s="588"/>
      <c r="BA66" s="588"/>
      <c r="BB66" s="588"/>
      <c r="BC66" s="588"/>
      <c r="BI66" s="50">
        <v>14</v>
      </c>
    </row>
    <row r="67" ht="19.949999999999999" customHeight="1">
      <c r="O67" s="53"/>
      <c r="S67" s="490"/>
      <c r="T67" s="588"/>
      <c r="U67" s="588"/>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R67" s="588"/>
      <c r="AS67" s="588"/>
      <c r="AT67" s="588"/>
      <c r="AU67" s="588"/>
      <c r="AV67" s="588"/>
      <c r="AW67" s="588"/>
      <c r="AX67" s="588"/>
      <c r="AY67" s="588"/>
      <c r="AZ67" s="588"/>
      <c r="BA67" s="588"/>
      <c r="BB67" s="588"/>
      <c r="BC67" s="588"/>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2">
        <v>0</v>
      </c>
      <c r="R69" s="492">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AF0037-00E3-44D6-90D5-0072008800C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E200A9-00A1-43D1-A9DD-00140088006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AF00C5-00F6-4C14-8CF7-00C200E8001C}"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160079-005B-434C-916A-0069003A001F}"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350068-00E8-4CCF-AE2B-00B100EC00E3}"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3"/>
      <c r="AK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35">IF(T2="","",T2)</f>
        <v xml:space="preserve">Наименование тарифа</v>
      </c>
      <c r="AO2" s="129"/>
      <c r="AP2" s="129"/>
      <c r="AQ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3"/>
      <c r="AC3" s="501" t="e">
        <f>INDEX(PT_DIFFERENTIATION_TER,MATCH(B3,PT_DIFFERENTIATION_TER_ID,0))</f>
        <v>#VALUE!</v>
      </c>
      <c r="AD3" s="502"/>
      <c r="AE3" s="502"/>
      <c r="AF3" s="502"/>
      <c r="AG3" s="502"/>
      <c r="AH3" s="502"/>
      <c r="AI3" s="502"/>
      <c r="AJ3" s="503"/>
      <c r="AK3" s="504" t="s">
        <v>400</v>
      </c>
      <c r="AM3" s="129"/>
      <c r="AN3" s="129" t="str">
        <f t="shared" si="35"/>
        <v xml:space="preserve">Территория действия тарифа</v>
      </c>
      <c r="AO3" s="129"/>
      <c r="AP3" s="129"/>
      <c r="AQ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518</v>
      </c>
      <c r="U4" s="500"/>
      <c r="V4" s="501"/>
      <c r="W4" s="502"/>
      <c r="X4" s="502"/>
      <c r="Y4" s="502"/>
      <c r="Z4" s="502"/>
      <c r="AA4" s="502"/>
      <c r="AB4" s="503"/>
      <c r="AC4" s="501" t="e">
        <f>INDEX(PT_DIFFERENTIATION_CS,MATCH(C4,PT_DIFFERENTIATION_CS_ID,0))</f>
        <v>#VALUE!</v>
      </c>
      <c r="AD4" s="502"/>
      <c r="AE4" s="502"/>
      <c r="AF4" s="502"/>
      <c r="AG4" s="502"/>
      <c r="AH4" s="502"/>
      <c r="AI4" s="502"/>
      <c r="AJ4" s="503"/>
      <c r="AK4" s="504" t="s">
        <v>519</v>
      </c>
      <c r="AM4" s="129"/>
      <c r="AN4" s="129" t="str">
        <f t="shared" si="35"/>
        <v xml:space="preserve">Наименование централизованной системы водоотведения</v>
      </c>
      <c r="AO4" s="129"/>
      <c r="AP4" s="129"/>
      <c r="AQ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482</v>
      </c>
      <c r="U5" s="500"/>
      <c r="V5" s="689"/>
      <c r="W5" s="690"/>
      <c r="X5" s="690"/>
      <c r="Y5" s="690"/>
      <c r="Z5" s="690"/>
      <c r="AA5" s="690"/>
      <c r="AB5" s="691"/>
      <c r="AC5" s="692"/>
      <c r="AD5" s="693"/>
      <c r="AE5" s="693"/>
      <c r="AF5" s="693"/>
      <c r="AG5" s="693"/>
      <c r="AH5" s="693"/>
      <c r="AI5" s="693"/>
      <c r="AJ5" s="694"/>
      <c r="AK5" s="504" t="s">
        <v>483</v>
      </c>
      <c r="AM5" s="129"/>
      <c r="AN5" s="129" t="str">
        <f t="shared" si="35"/>
        <v xml:space="preserve">Наименование признака дифференциации</v>
      </c>
      <c r="AO5" s="129"/>
      <c r="AP5" s="129"/>
      <c r="AQ5" s="50">
        <v>0</v>
      </c>
    </row>
    <row r="6" ht="23.25" hidden="1" customHeight="1">
      <c r="A6" s="493"/>
      <c r="B6" s="493"/>
      <c r="C6" s="493"/>
      <c r="D6" s="493"/>
      <c r="E6" s="505"/>
      <c r="F6" s="505"/>
      <c r="G6" s="505"/>
      <c r="H6" s="505"/>
      <c r="I6" s="517"/>
      <c r="J6" s="512" t="e">
        <f>I5&amp;".1"</f>
        <v>#VALUE!</v>
      </c>
      <c r="K6" s="493"/>
      <c r="L6" s="495" t="s">
        <v>408</v>
      </c>
      <c r="P6" s="132"/>
      <c r="Q6" s="132">
        <v>1</v>
      </c>
      <c r="R6" s="518"/>
      <c r="S6" s="498" t="e">
        <f>$J6</f>
        <v>#VALUE!</v>
      </c>
      <c r="T6" s="519" t="s">
        <v>409</v>
      </c>
      <c r="U6" s="500"/>
      <c r="V6" s="445"/>
      <c r="W6" s="515"/>
      <c r="X6" s="515"/>
      <c r="Y6" s="515"/>
      <c r="Z6" s="515"/>
      <c r="AA6" s="515"/>
      <c r="AB6" s="516"/>
      <c r="AC6" s="445"/>
      <c r="AD6" s="515"/>
      <c r="AE6" s="515"/>
      <c r="AF6" s="515"/>
      <c r="AG6" s="515"/>
      <c r="AH6" s="515"/>
      <c r="AI6" s="515"/>
      <c r="AJ6" s="516"/>
      <c r="AK6" s="631" t="s">
        <v>484</v>
      </c>
      <c r="AM6" s="129"/>
      <c r="AN6" s="129" t="str">
        <f t="shared" si="35"/>
        <v xml:space="preserve">Группа потребителей</v>
      </c>
      <c r="AO6" s="129"/>
      <c r="AP6" s="129"/>
      <c r="AQ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696"/>
      <c r="AK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5"/>
        <v/>
      </c>
      <c r="AO7" s="129"/>
      <c r="AP7" s="129"/>
      <c r="AQ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698"/>
      <c r="AK8" s="697"/>
      <c r="AM8" s="129"/>
      <c r="AN8" s="129" t="str">
        <f t="shared" si="35"/>
        <v/>
      </c>
      <c r="AO8" s="129"/>
      <c r="AP8" s="129"/>
      <c r="AQ8" s="50">
        <v>0</v>
      </c>
    </row>
    <row r="9" ht="21" hidden="1" customHeight="1">
      <c r="A9" s="493"/>
      <c r="B9" s="493"/>
      <c r="C9" s="493"/>
      <c r="D9" s="493"/>
      <c r="E9" s="505"/>
      <c r="F9" s="505"/>
      <c r="G9" s="505"/>
      <c r="H9" s="505"/>
      <c r="I9" s="517"/>
      <c r="J9" s="512"/>
      <c r="K9" s="493"/>
      <c r="L9" s="495"/>
      <c r="P9" s="132"/>
      <c r="Q9" s="132"/>
      <c r="R9" s="513"/>
      <c r="S9" s="529"/>
      <c r="T9" s="533" t="s">
        <v>485</v>
      </c>
      <c r="U9" s="214"/>
      <c r="V9" s="214"/>
      <c r="W9" s="214"/>
      <c r="X9" s="214"/>
      <c r="Y9" s="214"/>
      <c r="Z9" s="214"/>
      <c r="AA9" s="214"/>
      <c r="AB9" s="214"/>
      <c r="AC9" s="214"/>
      <c r="AD9" s="214"/>
      <c r="AE9" s="214"/>
      <c r="AF9" s="214"/>
      <c r="AG9" s="214"/>
      <c r="AH9" s="214"/>
      <c r="AI9" s="214"/>
      <c r="AJ9" s="214"/>
      <c r="AK9" s="504" t="s">
        <v>486</v>
      </c>
      <c r="AM9" s="129"/>
      <c r="AN9" s="129" t="str">
        <f t="shared" si="35"/>
        <v xml:space="preserve">Добавить значение признака дифференциации</v>
      </c>
      <c r="AO9" s="129"/>
      <c r="AP9" s="129"/>
      <c r="AQ9" s="50">
        <v>0</v>
      </c>
    </row>
    <row r="10" ht="21" hidden="1" customHeight="1">
      <c r="A10" s="493"/>
      <c r="B10" s="493"/>
      <c r="C10" s="493"/>
      <c r="D10" s="493"/>
      <c r="E10" s="505"/>
      <c r="F10" s="505"/>
      <c r="G10" s="505"/>
      <c r="H10" s="505"/>
      <c r="I10" s="512"/>
      <c r="J10" s="493"/>
      <c r="K10" s="493"/>
      <c r="L10" s="495"/>
      <c r="P10" s="132"/>
      <c r="Q10" s="132"/>
      <c r="R10" s="513"/>
      <c r="S10" s="529"/>
      <c r="T10" s="537" t="s">
        <v>414</v>
      </c>
      <c r="U10" s="214"/>
      <c r="V10" s="214"/>
      <c r="W10" s="214"/>
      <c r="X10" s="214"/>
      <c r="Y10" s="214"/>
      <c r="Z10" s="214"/>
      <c r="AA10" s="214"/>
      <c r="AB10" s="534"/>
      <c r="AC10" s="214"/>
      <c r="AD10" s="214"/>
      <c r="AE10" s="214"/>
      <c r="AF10" s="214"/>
      <c r="AG10" s="214"/>
      <c r="AH10" s="214"/>
      <c r="AI10" s="534"/>
      <c r="AJ10" s="214"/>
      <c r="AK10" s="699"/>
      <c r="AM10" s="129"/>
      <c r="AN10" s="129" t="str">
        <f t="shared" ref="AN10:AN53" si="36">IF(T10="","",T10)</f>
        <v xml:space="preserve">Добавить группу потребителей</v>
      </c>
      <c r="AO10" s="129"/>
      <c r="AP10" s="129"/>
      <c r="AQ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487</v>
      </c>
      <c r="U11" s="214"/>
      <c r="V11" s="214"/>
      <c r="W11" s="214"/>
      <c r="X11" s="214"/>
      <c r="Y11" s="214"/>
      <c r="Z11" s="214"/>
      <c r="AA11" s="214"/>
      <c r="AB11" s="534"/>
      <c r="AC11" s="214"/>
      <c r="AD11" s="214"/>
      <c r="AE11" s="214"/>
      <c r="AF11" s="214"/>
      <c r="AG11" s="214"/>
      <c r="AH11" s="214"/>
      <c r="AI11" s="534"/>
      <c r="AJ11" s="214"/>
      <c r="AK11" s="535"/>
      <c r="AM11" s="129"/>
      <c r="AN11" s="129" t="str">
        <f t="shared" si="36"/>
        <v xml:space="preserve">Добавить наименование признака дифференциации</v>
      </c>
      <c r="AO11" s="129"/>
      <c r="AP11" s="129"/>
      <c r="AQ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238</v>
      </c>
      <c r="U12" s="545"/>
      <c r="V12" s="545"/>
      <c r="W12" s="545"/>
      <c r="X12" s="545"/>
      <c r="Y12" s="545"/>
      <c r="Z12" s="545"/>
      <c r="AA12" s="545"/>
      <c r="AB12" s="545"/>
      <c r="AC12" s="545"/>
      <c r="AD12" s="545"/>
      <c r="AE12" s="545"/>
      <c r="AF12" s="545"/>
      <c r="AG12" s="545"/>
      <c r="AH12" s="545"/>
      <c r="AI12" s="545"/>
      <c r="AJ12" s="545"/>
      <c r="AK12" s="545"/>
      <c r="AM12" s="129"/>
      <c r="AN12" s="129" t="str">
        <f t="shared" si="3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239</v>
      </c>
      <c r="U13" s="545"/>
      <c r="V13" s="545"/>
      <c r="W13" s="545"/>
      <c r="X13" s="545"/>
      <c r="Y13" s="545"/>
      <c r="Z13" s="545"/>
      <c r="AA13" s="545"/>
      <c r="AB13" s="545"/>
      <c r="AC13" s="545"/>
      <c r="AD13" s="545"/>
      <c r="AE13" s="545"/>
      <c r="AF13" s="545"/>
      <c r="AG13" s="545"/>
      <c r="AH13" s="545"/>
      <c r="AI13" s="545"/>
      <c r="AJ13" s="545"/>
      <c r="AK13" s="545"/>
      <c r="AM13" s="129"/>
      <c r="AN13" s="129" t="str">
        <f t="shared" si="36"/>
        <v xml:space="preserve">Добавить территорию для дифференциации</v>
      </c>
      <c r="AO13" s="129"/>
      <c r="AP13" s="129"/>
      <c r="AQ13" s="57">
        <v>0</v>
      </c>
    </row>
    <row r="14" ht="14.25" hidden="1" customHeight="1">
      <c r="AB14" s="50"/>
      <c r="AI14" s="50"/>
      <c r="AQ14" s="50">
        <v>0</v>
      </c>
    </row>
    <row r="15" ht="14.25" hidden="1" customHeight="1">
      <c r="AC15" s="547"/>
      <c r="AD15" s="547"/>
      <c r="AE15" s="548"/>
      <c r="AF15" s="549"/>
      <c r="AG15" s="550" t="s">
        <v>66</v>
      </c>
      <c r="AH15" s="549"/>
      <c r="AI15" s="550" t="s">
        <v>66</v>
      </c>
      <c r="AQ15" s="50">
        <v>0</v>
      </c>
    </row>
    <row r="16" ht="14.25" hidden="1" customHeight="1">
      <c r="AC16" s="547"/>
      <c r="AD16" s="547"/>
      <c r="AE16" s="526" t="str">
        <f>AF15&amp;"-"&amp;AH15</f>
        <v>-</v>
      </c>
      <c r="AF16" s="550"/>
      <c r="AG16" s="550"/>
      <c r="AH16" s="550"/>
      <c r="AI16" s="550"/>
      <c r="AQ16" s="50">
        <v>0</v>
      </c>
    </row>
    <row r="17" ht="14.25" hidden="1" customHeight="1">
      <c r="AI17" s="50"/>
      <c r="AQ17" s="50">
        <v>0</v>
      </c>
    </row>
    <row r="18" s="53" customFormat="1" ht="22.5" hidden="1" customHeight="1">
      <c r="L18" s="113"/>
      <c r="M18" s="61"/>
      <c r="N18" s="61"/>
      <c r="O18" s="551" t="s">
        <v>417</v>
      </c>
      <c r="P18" s="61"/>
      <c r="Q18" s="552"/>
      <c r="R18" s="552"/>
      <c r="S18" s="496"/>
      <c r="Y18" s="551"/>
      <c r="AA18" s="551"/>
      <c r="AB18" s="53"/>
      <c r="AF18" s="551"/>
      <c r="AH18" s="551"/>
      <c r="AI18" s="53"/>
      <c r="AL18" s="57"/>
      <c r="AM18" s="57"/>
      <c r="AN18" s="57"/>
      <c r="AO18" s="57"/>
      <c r="AP18" s="57"/>
      <c r="AQ18" s="53">
        <v>0</v>
      </c>
    </row>
    <row r="19" s="53" customFormat="1" ht="14.25" hidden="1" customHeight="1">
      <c r="L19" s="113"/>
      <c r="M19" s="61"/>
      <c r="N19" s="61"/>
      <c r="O19" s="61"/>
      <c r="P19" s="61"/>
      <c r="Q19" s="552"/>
      <c r="R19" s="552"/>
      <c r="S19" s="496"/>
      <c r="AB19" s="53"/>
      <c r="AI19" s="53"/>
      <c r="AL19" s="57"/>
      <c r="AM19" s="57"/>
      <c r="AN19" s="57"/>
      <c r="AO19" s="57"/>
      <c r="AP19" s="57"/>
      <c r="AQ19" s="53">
        <v>0</v>
      </c>
    </row>
    <row r="20" s="53" customFormat="1" ht="12" hidden="1" customHeight="1">
      <c r="L20" s="113"/>
      <c r="M20" s="61"/>
      <c r="N20" s="61"/>
      <c r="O20" s="495" t="s">
        <v>418</v>
      </c>
      <c r="P20" s="61"/>
      <c r="Q20" s="701"/>
      <c r="R20" s="701"/>
      <c r="S20" s="496"/>
      <c r="T20" s="53" t="s">
        <v>419</v>
      </c>
      <c r="Z20" s="151" t="s">
        <v>420</v>
      </c>
      <c r="AB20" s="151" t="s">
        <v>421</v>
      </c>
      <c r="AC20" s="53" t="s">
        <v>419</v>
      </c>
      <c r="AG20" s="151" t="s">
        <v>422</v>
      </c>
      <c r="AI20" s="151" t="s">
        <v>421</v>
      </c>
      <c r="AQ20" s="53">
        <v>0</v>
      </c>
    </row>
    <row r="21" ht="14.25" hidden="1" customHeight="1">
      <c r="O21" s="495"/>
      <c r="AQ21" s="50">
        <v>0</v>
      </c>
    </row>
    <row r="22" ht="14.25" hidden="1" customHeight="1">
      <c r="O22" s="495"/>
      <c r="AQ22" s="50">
        <v>0</v>
      </c>
    </row>
    <row r="23" ht="14.65" customHeight="1">
      <c r="Q23" s="553"/>
      <c r="R23" s="553"/>
      <c r="S23" s="554"/>
      <c r="T23" s="91"/>
      <c r="U23" s="91"/>
      <c r="V23" s="50"/>
      <c r="W23" s="50"/>
      <c r="X23" s="50"/>
      <c r="Y23" s="50"/>
      <c r="Z23" s="50"/>
      <c r="AA23" s="50"/>
      <c r="AB23" s="50"/>
      <c r="AC23" s="50"/>
      <c r="AD23" s="50"/>
      <c r="AE23" s="50"/>
      <c r="AF23" s="50"/>
      <c r="AG23" s="50"/>
      <c r="AH23" s="50"/>
      <c r="AI23" s="50"/>
      <c r="AQ23" s="50">
        <v>14</v>
      </c>
    </row>
    <row r="24" ht="14.65" customHeight="1">
      <c r="Q24" s="553"/>
      <c r="R24" s="553"/>
      <c r="S24" s="466"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6"/>
      <c r="U24" s="466"/>
      <c r="V24" s="466"/>
      <c r="W24" s="466"/>
      <c r="X24" s="466"/>
      <c r="Y24" s="466"/>
      <c r="Z24" s="466"/>
      <c r="AA24" s="466"/>
      <c r="AB24" s="466"/>
      <c r="AC24" s="466"/>
      <c r="AD24" s="466"/>
      <c r="AE24" s="466"/>
      <c r="AF24" s="466"/>
      <c r="AG24" s="466"/>
      <c r="AH24" s="466"/>
      <c r="AI24" s="240"/>
      <c r="AQ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0"/>
      <c r="AK27" s="559"/>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95"/>
      <c r="M28" s="151"/>
      <c r="N28" s="151"/>
      <c r="O28" s="151"/>
      <c r="S28" s="556" t="s">
        <v>423</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0"/>
      <c r="AK28" s="559"/>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95"/>
      <c r="M29" s="151"/>
      <c r="N29" s="151"/>
      <c r="O29" s="151"/>
      <c r="S29" s="556" t="s">
        <v>424</v>
      </c>
      <c r="T29" s="556"/>
      <c r="U29" s="557"/>
      <c r="V29" s="558" t="str">
        <f>IF(TITLE_NUMBER_PR_CHANGE="",IF(TITLE_NUMBER_PR="","",TITLE_NUMBER_PR),TITLE_NUMBER_PR_CHANGE)</f>
        <v>ПГ/01/950</v>
      </c>
      <c r="W29" s="558"/>
      <c r="X29" s="558"/>
      <c r="Y29" s="558"/>
      <c r="Z29" s="558"/>
      <c r="AA29" s="558"/>
      <c r="AB29" s="50"/>
      <c r="AC29" s="558" t="str">
        <f>IF(TITLE_NUMBER_PR_CHANGE="",IF(TITLE_NUMBER_PR="","",TITLE_NUMBER_PR),TITLE_NUMBER_PR_CHANGE)</f>
        <v>ПГ/01/950</v>
      </c>
      <c r="AD29" s="558"/>
      <c r="AE29" s="558"/>
      <c r="AF29" s="558"/>
      <c r="AG29" s="558"/>
      <c r="AH29" s="558"/>
      <c r="AI29" s="50"/>
      <c r="AJ29" s="50"/>
      <c r="AK29" s="559"/>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0"/>
      <c r="AK30" s="559"/>
      <c r="AL30" s="129"/>
      <c r="AM30" s="129"/>
      <c r="AN30" s="129"/>
      <c r="AO30" s="129"/>
      <c r="AP30" s="129"/>
      <c r="AQ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customHeight="1">
      <c r="A32" s="151"/>
      <c r="B32" s="151"/>
      <c r="C32" s="151"/>
      <c r="D32" s="151"/>
      <c r="E32" s="151"/>
      <c r="F32" s="151"/>
      <c r="G32" s="151"/>
      <c r="H32" s="151"/>
      <c r="I32" s="151"/>
      <c r="J32" s="151"/>
      <c r="K32" s="151"/>
      <c r="L32" s="495"/>
      <c r="M32" s="151"/>
      <c r="N32" s="151"/>
      <c r="O32" s="151"/>
      <c r="S32" s="556" t="s">
        <v>425</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0"/>
      <c r="AK32" s="559"/>
      <c r="AL32" s="129"/>
      <c r="AM32" s="129"/>
      <c r="AN32" s="129"/>
      <c r="AO32" s="129"/>
      <c r="AP32" s="129"/>
      <c r="AQ32" s="184">
        <v>0</v>
      </c>
    </row>
    <row r="33" s="184" customFormat="1" ht="18.75" customHeight="1">
      <c r="A33" s="151"/>
      <c r="B33" s="151"/>
      <c r="C33" s="151"/>
      <c r="D33" s="151"/>
      <c r="E33" s="151"/>
      <c r="F33" s="151"/>
      <c r="G33" s="151"/>
      <c r="H33" s="151"/>
      <c r="I33" s="151"/>
      <c r="J33" s="151"/>
      <c r="K33" s="151"/>
      <c r="L33" s="495"/>
      <c r="M33" s="151"/>
      <c r="N33" s="151"/>
      <c r="O33" s="151"/>
      <c r="S33" s="556" t="s">
        <v>426</v>
      </c>
      <c r="T33" s="556"/>
      <c r="U33" s="557"/>
      <c r="V33" s="558" t="str">
        <f>IF(TITLE_NUMBER_PR_CHANGE="",IF(TITLE_NUMBER_PR="","",TITLE_NUMBER_PR),TITLE_NUMBER_PR_CHANGE)</f>
        <v>ПГ/01/950</v>
      </c>
      <c r="W33" s="558"/>
      <c r="X33" s="558"/>
      <c r="Y33" s="558"/>
      <c r="Z33" s="558"/>
      <c r="AA33" s="558"/>
      <c r="AB33" s="50"/>
      <c r="AC33" s="558" t="str">
        <f>IF(TITLE_NUMBER_PR_CHANGE="",IF(TITLE_NUMBER_PR="","",TITLE_NUMBER_PR),TITLE_NUMBER_PR_CHANGE)</f>
        <v>ПГ/01/950</v>
      </c>
      <c r="AD33" s="558"/>
      <c r="AE33" s="558"/>
      <c r="AF33" s="558"/>
      <c r="AG33" s="558"/>
      <c r="AH33" s="558"/>
      <c r="AI33" s="50"/>
      <c r="AJ33" s="50"/>
      <c r="AK33" s="559"/>
      <c r="AL33" s="129"/>
      <c r="AM33" s="129"/>
      <c r="AN33" s="129"/>
      <c r="AO33" s="129"/>
      <c r="AP33" s="129"/>
      <c r="AQ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427</v>
      </c>
      <c r="AC34" s="50"/>
      <c r="AD34" s="50"/>
      <c r="AE34" s="50"/>
      <c r="AF34" s="50"/>
      <c r="AG34" s="50"/>
      <c r="AH34" s="50"/>
      <c r="AI34" s="57" t="s">
        <v>427</v>
      </c>
      <c r="AL34" s="129"/>
      <c r="AM34" s="129"/>
      <c r="AN34" s="129"/>
      <c r="AO34" s="129"/>
      <c r="AP34" s="129"/>
      <c r="AQ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553"/>
      <c r="R36" s="553"/>
      <c r="S36" s="157" t="s">
        <v>302</v>
      </c>
      <c r="T36" s="157"/>
      <c r="U36" s="157"/>
      <c r="V36" s="157"/>
      <c r="W36" s="157"/>
      <c r="X36" s="157"/>
      <c r="Y36" s="157"/>
      <c r="Z36" s="157"/>
      <c r="AA36" s="157"/>
      <c r="AB36" s="157"/>
      <c r="AC36" s="157"/>
      <c r="AD36" s="157"/>
      <c r="AE36" s="157"/>
      <c r="AF36" s="157"/>
      <c r="AG36" s="157"/>
      <c r="AH36" s="157"/>
      <c r="AI36" s="157"/>
      <c r="AJ36" s="157"/>
      <c r="AK36" s="157" t="s">
        <v>303</v>
      </c>
      <c r="AQ36" s="50">
        <v>14</v>
      </c>
    </row>
    <row r="37" ht="14.65" customHeight="1">
      <c r="Q37" s="553"/>
      <c r="R37" s="553"/>
      <c r="S37" s="498" t="s">
        <v>88</v>
      </c>
      <c r="T37" s="362" t="s">
        <v>428</v>
      </c>
      <c r="U37" s="563"/>
      <c r="V37" s="564" t="s">
        <v>429</v>
      </c>
      <c r="W37" s="565"/>
      <c r="X37" s="565"/>
      <c r="Y37" s="565"/>
      <c r="Z37" s="565"/>
      <c r="AA37" s="566"/>
      <c r="AB37" s="567" t="s">
        <v>430</v>
      </c>
      <c r="AC37" s="564" t="s">
        <v>429</v>
      </c>
      <c r="AD37" s="565"/>
      <c r="AE37" s="565"/>
      <c r="AF37" s="565"/>
      <c r="AG37" s="565"/>
      <c r="AH37" s="566"/>
      <c r="AI37" s="567" t="s">
        <v>431</v>
      </c>
      <c r="AJ37" s="568" t="s">
        <v>432</v>
      </c>
      <c r="AK37" s="157"/>
      <c r="AQ37" s="50">
        <v>14</v>
      </c>
    </row>
    <row r="38" ht="35.649999999999999" customHeight="1">
      <c r="Q38" s="553"/>
      <c r="R38" s="553"/>
      <c r="S38" s="498"/>
      <c r="T38" s="362"/>
      <c r="U38" s="569"/>
      <c r="V38" s="324" t="s">
        <v>488</v>
      </c>
      <c r="W38" s="73" t="s">
        <v>435</v>
      </c>
      <c r="X38" s="72"/>
      <c r="Y38" s="73" t="s">
        <v>436</v>
      </c>
      <c r="Z38" s="145"/>
      <c r="AA38" s="72"/>
      <c r="AB38" s="571"/>
      <c r="AC38" s="324" t="s">
        <v>488</v>
      </c>
      <c r="AD38" s="73" t="s">
        <v>435</v>
      </c>
      <c r="AE38" s="72"/>
      <c r="AF38" s="73" t="s">
        <v>436</v>
      </c>
      <c r="AG38" s="145"/>
      <c r="AH38" s="72"/>
      <c r="AI38" s="571"/>
      <c r="AJ38" s="572"/>
      <c r="AK38" s="157"/>
      <c r="AQ38" s="50">
        <v>34</v>
      </c>
    </row>
    <row r="39" ht="90.299999999999997" customHeight="1">
      <c r="A39" s="151"/>
      <c r="B39" s="151" t="s">
        <v>135</v>
      </c>
      <c r="C39" s="151" t="s">
        <v>136</v>
      </c>
      <c r="D39" s="151" t="s">
        <v>137</v>
      </c>
      <c r="E39" s="495" t="s">
        <v>437</v>
      </c>
      <c r="F39" s="495" t="s">
        <v>438</v>
      </c>
      <c r="G39" s="495" t="s">
        <v>439</v>
      </c>
      <c r="H39" s="495"/>
      <c r="I39" s="495" t="s">
        <v>489</v>
      </c>
      <c r="J39" s="495" t="s">
        <v>442</v>
      </c>
      <c r="K39" s="495" t="s">
        <v>490</v>
      </c>
      <c r="L39" s="495" t="s">
        <v>418</v>
      </c>
      <c r="Q39" s="553"/>
      <c r="R39" s="553"/>
      <c r="S39" s="498"/>
      <c r="T39" s="362"/>
      <c r="U39" s="573"/>
      <c r="V39" s="324" t="s">
        <v>520</v>
      </c>
      <c r="W39" s="246" t="s">
        <v>521</v>
      </c>
      <c r="X39" s="246" t="s">
        <v>493</v>
      </c>
      <c r="Y39" s="246" t="s">
        <v>446</v>
      </c>
      <c r="Z39" s="429" t="s">
        <v>447</v>
      </c>
      <c r="AA39" s="431"/>
      <c r="AB39" s="575"/>
      <c r="AC39" s="324" t="s">
        <v>520</v>
      </c>
      <c r="AD39" s="246" t="s">
        <v>521</v>
      </c>
      <c r="AE39" s="246" t="s">
        <v>493</v>
      </c>
      <c r="AF39" s="246" t="s">
        <v>446</v>
      </c>
      <c r="AG39" s="429" t="s">
        <v>447</v>
      </c>
      <c r="AH39" s="431"/>
      <c r="AI39" s="575"/>
      <c r="AJ39" s="576"/>
      <c r="AK39" s="157"/>
      <c r="AQ39" s="50">
        <v>86</v>
      </c>
    </row>
    <row r="40" s="131" customFormat="1" ht="11.25" hidden="1"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2">
        <f ca="1">OFFSET(AJ40,0,-1)</f>
        <v>14</v>
      </c>
      <c r="AK40" s="583">
        <f ca="1">OFFSET(AK40,0,-1)+1</f>
        <v>15</v>
      </c>
      <c r="AL40" s="57"/>
      <c r="AM40" s="57"/>
      <c r="AN40" s="57"/>
      <c r="AO40" s="57"/>
      <c r="AP40" s="57"/>
      <c r="AQ40" s="131">
        <v>0</v>
      </c>
    </row>
    <row r="41" ht="24" customHeight="1">
      <c r="A41" s="493" t="s">
        <v>268</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0</v>
      </c>
      <c r="T41" s="499" t="s">
        <v>123</v>
      </c>
      <c r="U41" s="500"/>
      <c r="V41" s="501"/>
      <c r="W41" s="502"/>
      <c r="X41" s="502"/>
      <c r="Y41" s="502"/>
      <c r="Z41" s="502"/>
      <c r="AA41" s="502"/>
      <c r="AB41" s="503"/>
      <c r="AC41" s="501" t="str">
        <f>INDEX(PT_DIFFERENTIATION_NTAR,MATCH(A41,PT_DIFFERENTIATION_NTAR_ID,0))</f>
        <v/>
      </c>
      <c r="AD41" s="502"/>
      <c r="AE41" s="502"/>
      <c r="AF41" s="502"/>
      <c r="AG41" s="502"/>
      <c r="AH41" s="502"/>
      <c r="AI41" s="502"/>
      <c r="AJ41" s="503"/>
      <c r="AK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6"/>
        <v xml:space="preserve">Наименование тарифа</v>
      </c>
      <c r="AO41" s="129"/>
      <c r="AP41" s="129"/>
      <c r="AQ41" s="50">
        <v>23</v>
      </c>
    </row>
    <row r="42" ht="24" customHeight="1">
      <c r="A42" s="493" t="s">
        <v>268</v>
      </c>
      <c r="B42" s="493" t="s">
        <v>269</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v>
      </c>
      <c r="T42" s="508" t="s">
        <v>399</v>
      </c>
      <c r="U42" s="500"/>
      <c r="V42" s="501"/>
      <c r="W42" s="502"/>
      <c r="X42" s="502"/>
      <c r="Y42" s="502"/>
      <c r="Z42" s="502"/>
      <c r="AA42" s="502"/>
      <c r="AB42" s="503"/>
      <c r="AC42" s="501" t="str">
        <f>INDEX(PT_DIFFERENTIATION_TER,MATCH(B42,PT_DIFFERENTIATION_TER_ID,0))</f>
        <v/>
      </c>
      <c r="AD42" s="502"/>
      <c r="AE42" s="502"/>
      <c r="AF42" s="502"/>
      <c r="AG42" s="502"/>
      <c r="AH42" s="502"/>
      <c r="AI42" s="502"/>
      <c r="AJ42" s="503"/>
      <c r="AK42" s="504" t="s">
        <v>400</v>
      </c>
      <c r="AM42" s="129"/>
      <c r="AN42" s="129" t="str">
        <f t="shared" si="36"/>
        <v xml:space="preserve">Территория действия тарифа</v>
      </c>
      <c r="AO42" s="129"/>
      <c r="AP42" s="129"/>
      <c r="AQ42" s="50">
        <v>23</v>
      </c>
    </row>
    <row r="43" ht="24" customHeight="1">
      <c r="A43" s="493" t="s">
        <v>268</v>
      </c>
      <c r="B43" s="493" t="s">
        <v>269</v>
      </c>
      <c r="C43" s="493" t="s">
        <v>270</v>
      </c>
      <c r="D43" s="493"/>
      <c r="E43" s="505"/>
      <c r="F43" s="505"/>
      <c r="G43" s="494">
        <v>1</v>
      </c>
      <c r="H43" s="493"/>
      <c r="I43" s="493"/>
      <c r="J43" s="493"/>
      <c r="K43" s="493"/>
      <c r="L43" s="495"/>
      <c r="M43" s="496"/>
      <c r="N43" s="496"/>
      <c r="O43" s="496"/>
      <c r="P43" s="509"/>
      <c r="Q43" s="506"/>
      <c r="R43" s="507"/>
      <c r="S43" s="498" t="str">
        <f>INDEX(PT_DIFFERENTIATION_NUM_CS,MATCH(C43,PT_DIFFERENTIATION_CS_ID,0))</f>
        <v>..</v>
      </c>
      <c r="T43" s="510" t="s">
        <v>518</v>
      </c>
      <c r="U43" s="500"/>
      <c r="V43" s="501"/>
      <c r="W43" s="502"/>
      <c r="X43" s="502"/>
      <c r="Y43" s="502"/>
      <c r="Z43" s="502"/>
      <c r="AA43" s="502"/>
      <c r="AB43" s="503"/>
      <c r="AC43" s="501" t="str">
        <f>INDEX(PT_DIFFERENTIATION_CS,MATCH(C43,PT_DIFFERENTIATION_CS_ID,0))</f>
        <v/>
      </c>
      <c r="AD43" s="502"/>
      <c r="AE43" s="502"/>
      <c r="AF43" s="502"/>
      <c r="AG43" s="502"/>
      <c r="AH43" s="502"/>
      <c r="AI43" s="502"/>
      <c r="AJ43" s="503"/>
      <c r="AK43" s="504" t="s">
        <v>519</v>
      </c>
      <c r="AM43" s="129"/>
      <c r="AN43" s="129" t="str">
        <f t="shared" si="36"/>
        <v xml:space="preserve">Наименование централизованной системы водоотведения</v>
      </c>
      <c r="AO43" s="129"/>
      <c r="AP43" s="129"/>
      <c r="AQ43" s="50">
        <v>23</v>
      </c>
    </row>
    <row r="44" ht="24" customHeight="1">
      <c r="A44" s="493" t="s">
        <v>268</v>
      </c>
      <c r="B44" s="493" t="s">
        <v>269</v>
      </c>
      <c r="C44" s="493" t="s">
        <v>270</v>
      </c>
      <c r="D44" s="493" t="s">
        <v>522</v>
      </c>
      <c r="E44" s="505"/>
      <c r="F44" s="505"/>
      <c r="G44" s="505"/>
      <c r="H44" s="505"/>
      <c r="I44" s="512" t="str">
        <f>S43&amp;".1"</f>
        <v>...1</v>
      </c>
      <c r="J44" s="493"/>
      <c r="K44" s="493"/>
      <c r="L44" s="495"/>
      <c r="P44" s="132">
        <v>1</v>
      </c>
      <c r="Q44" s="132"/>
      <c r="R44" s="513"/>
      <c r="S44" s="498" t="str">
        <f>$I44</f>
        <v>...1</v>
      </c>
      <c r="T44" s="514" t="s">
        <v>482</v>
      </c>
      <c r="U44" s="500"/>
      <c r="V44" s="689"/>
      <c r="W44" s="690"/>
      <c r="X44" s="690"/>
      <c r="Y44" s="690"/>
      <c r="Z44" s="690"/>
      <c r="AA44" s="690"/>
      <c r="AB44" s="691"/>
      <c r="AC44" s="692"/>
      <c r="AD44" s="693"/>
      <c r="AE44" s="693"/>
      <c r="AF44" s="693"/>
      <c r="AG44" s="693"/>
      <c r="AH44" s="693"/>
      <c r="AI44" s="693"/>
      <c r="AJ44" s="694"/>
      <c r="AK44" s="504" t="s">
        <v>483</v>
      </c>
      <c r="AM44" s="129"/>
      <c r="AN44" s="129" t="str">
        <f t="shared" si="36"/>
        <v xml:space="preserve">Наименование признака дифференциации</v>
      </c>
      <c r="AO44" s="129"/>
      <c r="AP44" s="129"/>
      <c r="AQ44" s="50">
        <v>23</v>
      </c>
    </row>
    <row r="45" ht="24" customHeight="1">
      <c r="A45" s="493" t="s">
        <v>268</v>
      </c>
      <c r="B45" s="493" t="s">
        <v>269</v>
      </c>
      <c r="C45" s="493" t="s">
        <v>270</v>
      </c>
      <c r="D45" s="493" t="s">
        <v>522</v>
      </c>
      <c r="E45" s="505"/>
      <c r="F45" s="505"/>
      <c r="G45" s="505"/>
      <c r="H45" s="505"/>
      <c r="I45" s="517"/>
      <c r="J45" s="512" t="str">
        <f>I44&amp;".1"</f>
        <v>...1.1</v>
      </c>
      <c r="K45" s="493"/>
      <c r="L45" s="495" t="s">
        <v>408</v>
      </c>
      <c r="P45" s="132"/>
      <c r="Q45" s="132">
        <v>1</v>
      </c>
      <c r="R45" s="518"/>
      <c r="S45" s="498" t="str">
        <f>$J45</f>
        <v>...1.1</v>
      </c>
      <c r="T45" s="519" t="s">
        <v>409</v>
      </c>
      <c r="U45" s="500"/>
      <c r="V45" s="445"/>
      <c r="W45" s="515"/>
      <c r="X45" s="515"/>
      <c r="Y45" s="515"/>
      <c r="Z45" s="515"/>
      <c r="AA45" s="515"/>
      <c r="AB45" s="516"/>
      <c r="AC45" s="445"/>
      <c r="AD45" s="515"/>
      <c r="AE45" s="515"/>
      <c r="AF45" s="515"/>
      <c r="AG45" s="515"/>
      <c r="AH45" s="515"/>
      <c r="AI45" s="515"/>
      <c r="AJ45" s="516"/>
      <c r="AK45" s="631" t="s">
        <v>484</v>
      </c>
      <c r="AM45" s="129"/>
      <c r="AN45" s="129" t="str">
        <f t="shared" si="36"/>
        <v xml:space="preserve">Группа потребителей</v>
      </c>
      <c r="AO45" s="129"/>
      <c r="AP45" s="129"/>
      <c r="AQ45" s="50">
        <v>23</v>
      </c>
    </row>
    <row r="46" ht="24" customHeight="1">
      <c r="A46" s="493" t="s">
        <v>268</v>
      </c>
      <c r="B46" s="493" t="s">
        <v>269</v>
      </c>
      <c r="C46" s="493" t="s">
        <v>270</v>
      </c>
      <c r="D46" s="493" t="s">
        <v>522</v>
      </c>
      <c r="E46" s="505"/>
      <c r="F46" s="505"/>
      <c r="G46" s="505"/>
      <c r="H46" s="505"/>
      <c r="I46" s="517"/>
      <c r="J46" s="517"/>
      <c r="K46" s="512" t="str">
        <f>J45&amp;".1"</f>
        <v>...1.1.1</v>
      </c>
      <c r="L46" s="495"/>
      <c r="P46" s="132"/>
      <c r="Q46" s="132"/>
      <c r="R46" s="518">
        <v>1</v>
      </c>
      <c r="S46" s="498" t="str">
        <f>$K46</f>
        <v>...1.1.1</v>
      </c>
      <c r="T46" s="695"/>
      <c r="U46" s="500"/>
      <c r="V46" s="547"/>
      <c r="W46" s="547"/>
      <c r="X46" s="548"/>
      <c r="Y46" s="549"/>
      <c r="Z46" s="550" t="s">
        <v>66</v>
      </c>
      <c r="AA46" s="549"/>
      <c r="AB46" s="550" t="s">
        <v>66</v>
      </c>
      <c r="AC46" s="521"/>
      <c r="AD46" s="521"/>
      <c r="AE46" s="523"/>
      <c r="AF46" s="524"/>
      <c r="AG46" s="224" t="s">
        <v>66</v>
      </c>
      <c r="AH46" s="584"/>
      <c r="AI46" s="224" t="s">
        <v>19</v>
      </c>
      <c r="AJ46" s="696"/>
      <c r="AK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6"/>
        <v/>
      </c>
      <c r="AO46" s="129"/>
      <c r="AP46" s="129"/>
      <c r="AQ46" s="50">
        <v>23</v>
      </c>
    </row>
    <row r="47" ht="0" customHeight="1">
      <c r="A47" s="493" t="s">
        <v>268</v>
      </c>
      <c r="B47" s="493" t="s">
        <v>269</v>
      </c>
      <c r="C47" s="493" t="s">
        <v>270</v>
      </c>
      <c r="D47" s="493" t="s">
        <v>522</v>
      </c>
      <c r="E47" s="505"/>
      <c r="F47" s="505"/>
      <c r="G47" s="505"/>
      <c r="H47" s="505"/>
      <c r="I47" s="517"/>
      <c r="J47" s="517"/>
      <c r="K47" s="512"/>
      <c r="L47" s="495"/>
      <c r="P47" s="132"/>
      <c r="Q47" s="132"/>
      <c r="R47" s="518"/>
      <c r="S47" s="472"/>
      <c r="T47" s="500"/>
      <c r="U47" s="500"/>
      <c r="V47" s="547"/>
      <c r="W47" s="547"/>
      <c r="X47" s="526" t="str">
        <f>Y46&amp;"-"&amp;AA46</f>
        <v>-</v>
      </c>
      <c r="Y47" s="550"/>
      <c r="Z47" s="550"/>
      <c r="AA47" s="550"/>
      <c r="AB47" s="550"/>
      <c r="AC47" s="522"/>
      <c r="AD47" s="522"/>
      <c r="AE47" s="526" t="str">
        <f>AF46&amp;"-"&amp;AH46</f>
        <v>-</v>
      </c>
      <c r="AF47" s="527"/>
      <c r="AG47" s="224"/>
      <c r="AH47" s="586"/>
      <c r="AI47" s="224"/>
      <c r="AJ47" s="698"/>
      <c r="AK47" s="697"/>
      <c r="AM47" s="129"/>
      <c r="AN47" s="129" t="str">
        <f t="shared" si="36"/>
        <v/>
      </c>
      <c r="AO47" s="129"/>
      <c r="AP47" s="129"/>
      <c r="AQ47" s="50">
        <v>0</v>
      </c>
    </row>
    <row r="48" ht="21" customHeight="1">
      <c r="A48" s="493" t="s">
        <v>268</v>
      </c>
      <c r="B48" s="493" t="s">
        <v>269</v>
      </c>
      <c r="C48" s="493" t="s">
        <v>270</v>
      </c>
      <c r="D48" s="493" t="s">
        <v>522</v>
      </c>
      <c r="E48" s="505"/>
      <c r="F48" s="505"/>
      <c r="G48" s="505"/>
      <c r="H48" s="505"/>
      <c r="I48" s="517"/>
      <c r="J48" s="512"/>
      <c r="K48" s="493"/>
      <c r="L48" s="495"/>
      <c r="P48" s="132"/>
      <c r="Q48" s="132"/>
      <c r="R48" s="513"/>
      <c r="S48" s="529"/>
      <c r="T48" s="533" t="s">
        <v>485</v>
      </c>
      <c r="U48" s="214"/>
      <c r="V48" s="214"/>
      <c r="W48" s="214"/>
      <c r="X48" s="214"/>
      <c r="Y48" s="214"/>
      <c r="Z48" s="214"/>
      <c r="AA48" s="214"/>
      <c r="AB48" s="214"/>
      <c r="AC48" s="214"/>
      <c r="AD48" s="214"/>
      <c r="AE48" s="214"/>
      <c r="AF48" s="214"/>
      <c r="AG48" s="214"/>
      <c r="AH48" s="214"/>
      <c r="AI48" s="214"/>
      <c r="AJ48" s="214"/>
      <c r="AK48" s="504" t="s">
        <v>486</v>
      </c>
      <c r="AM48" s="129"/>
      <c r="AN48" s="129" t="str">
        <f t="shared" si="36"/>
        <v xml:space="preserve">Добавить значение признака дифференциации</v>
      </c>
      <c r="AO48" s="129"/>
      <c r="AP48" s="129"/>
      <c r="AQ48" s="50">
        <v>20</v>
      </c>
    </row>
    <row r="49" ht="22" customHeight="1">
      <c r="A49" s="493" t="s">
        <v>268</v>
      </c>
      <c r="B49" s="493" t="s">
        <v>269</v>
      </c>
      <c r="C49" s="493" t="s">
        <v>270</v>
      </c>
      <c r="D49" s="493" t="s">
        <v>522</v>
      </c>
      <c r="E49" s="505"/>
      <c r="F49" s="505"/>
      <c r="G49" s="505"/>
      <c r="H49" s="505"/>
      <c r="I49" s="512"/>
      <c r="J49" s="493"/>
      <c r="K49" s="493"/>
      <c r="L49" s="495"/>
      <c r="P49" s="132"/>
      <c r="Q49" s="132"/>
      <c r="R49" s="513"/>
      <c r="S49" s="529"/>
      <c r="T49" s="537" t="s">
        <v>414</v>
      </c>
      <c r="U49" s="214"/>
      <c r="V49" s="214"/>
      <c r="W49" s="214"/>
      <c r="X49" s="214"/>
      <c r="Y49" s="214"/>
      <c r="Z49" s="214"/>
      <c r="AA49" s="214"/>
      <c r="AB49" s="534"/>
      <c r="AC49" s="214"/>
      <c r="AD49" s="214"/>
      <c r="AE49" s="214"/>
      <c r="AF49" s="214"/>
      <c r="AG49" s="214"/>
      <c r="AH49" s="214"/>
      <c r="AI49" s="534"/>
      <c r="AJ49" s="214"/>
      <c r="AK49" s="699"/>
      <c r="AM49" s="129"/>
      <c r="AN49" s="129" t="str">
        <f t="shared" si="36"/>
        <v xml:space="preserve">Добавить группу потребителей</v>
      </c>
      <c r="AO49" s="129"/>
      <c r="AP49" s="129"/>
      <c r="AQ49" s="50">
        <v>21</v>
      </c>
    </row>
    <row r="50" ht="22" customHeight="1">
      <c r="A50" s="493" t="s">
        <v>268</v>
      </c>
      <c r="B50" s="493" t="s">
        <v>269</v>
      </c>
      <c r="C50" s="493" t="s">
        <v>270</v>
      </c>
      <c r="D50" s="493" t="s">
        <v>522</v>
      </c>
      <c r="E50" s="505"/>
      <c r="F50" s="505"/>
      <c r="G50" s="505"/>
      <c r="H50" s="494"/>
      <c r="I50" s="493"/>
      <c r="J50" s="493"/>
      <c r="K50" s="493"/>
      <c r="L50" s="495"/>
      <c r="M50" s="496"/>
      <c r="N50" s="496"/>
      <c r="O50" s="53"/>
      <c r="P50" s="143"/>
      <c r="Q50" s="536"/>
      <c r="R50" s="497"/>
      <c r="S50" s="529"/>
      <c r="T50" s="700" t="s">
        <v>487</v>
      </c>
      <c r="U50" s="214"/>
      <c r="V50" s="214"/>
      <c r="W50" s="214"/>
      <c r="X50" s="214"/>
      <c r="Y50" s="214"/>
      <c r="Z50" s="214"/>
      <c r="AA50" s="214"/>
      <c r="AB50" s="534"/>
      <c r="AC50" s="214"/>
      <c r="AD50" s="214"/>
      <c r="AE50" s="214"/>
      <c r="AF50" s="214"/>
      <c r="AG50" s="214"/>
      <c r="AH50" s="214"/>
      <c r="AI50" s="534"/>
      <c r="AJ50" s="214"/>
      <c r="AK50" s="535"/>
      <c r="AM50" s="129"/>
      <c r="AN50" s="129" t="str">
        <f t="shared" si="36"/>
        <v xml:space="preserve">Добавить наименование признака дифференциации</v>
      </c>
      <c r="AO50" s="129"/>
      <c r="AP50" s="129"/>
      <c r="AQ50" s="50">
        <v>21</v>
      </c>
    </row>
    <row r="51" s="57" customFormat="1" ht="0" customHeight="1">
      <c r="A51" s="133" t="s">
        <v>268</v>
      </c>
      <c r="B51" s="133" t="s">
        <v>269</v>
      </c>
      <c r="C51" s="133"/>
      <c r="D51" s="133"/>
      <c r="E51" s="505"/>
      <c r="F51" s="494"/>
      <c r="G51" s="133"/>
      <c r="H51" s="133"/>
      <c r="I51" s="133"/>
      <c r="J51" s="133"/>
      <c r="K51" s="133"/>
      <c r="L51" s="212"/>
      <c r="M51" s="542"/>
      <c r="N51" s="542"/>
      <c r="P51" s="167"/>
      <c r="Q51" s="538"/>
      <c r="R51" s="167"/>
      <c r="S51" s="543"/>
      <c r="T51" s="546" t="s">
        <v>238</v>
      </c>
      <c r="U51" s="545"/>
      <c r="V51" s="545"/>
      <c r="W51" s="545"/>
      <c r="X51" s="545"/>
      <c r="Y51" s="545"/>
      <c r="Z51" s="545"/>
      <c r="AA51" s="545"/>
      <c r="AB51" s="545"/>
      <c r="AC51" s="545"/>
      <c r="AD51" s="545"/>
      <c r="AE51" s="545"/>
      <c r="AF51" s="545"/>
      <c r="AG51" s="545"/>
      <c r="AH51" s="545"/>
      <c r="AI51" s="545"/>
      <c r="AJ51" s="545"/>
      <c r="AK51" s="545"/>
      <c r="AM51" s="129"/>
      <c r="AN51" s="129" t="str">
        <f t="shared" si="36"/>
        <v xml:space="preserve">Добавить централизованную систему для дифференциации</v>
      </c>
      <c r="AO51" s="129"/>
      <c r="AP51" s="129"/>
      <c r="AQ51" s="57">
        <v>0</v>
      </c>
    </row>
    <row r="52" s="57" customFormat="1" ht="0" customHeight="1">
      <c r="A52" s="133" t="s">
        <v>268</v>
      </c>
      <c r="B52" s="133"/>
      <c r="C52" s="133"/>
      <c r="D52" s="133"/>
      <c r="E52" s="494"/>
      <c r="F52" s="133"/>
      <c r="G52" s="133"/>
      <c r="H52" s="133"/>
      <c r="I52" s="133"/>
      <c r="J52" s="133"/>
      <c r="K52" s="133"/>
      <c r="L52" s="212"/>
      <c r="M52" s="542"/>
      <c r="N52" s="542"/>
      <c r="O52" s="57"/>
      <c r="P52" s="167"/>
      <c r="Q52" s="538"/>
      <c r="R52" s="167"/>
      <c r="S52" s="543"/>
      <c r="T52" s="546" t="s">
        <v>239</v>
      </c>
      <c r="U52" s="545"/>
      <c r="V52" s="545"/>
      <c r="W52" s="545"/>
      <c r="X52" s="545"/>
      <c r="Y52" s="545"/>
      <c r="Z52" s="545"/>
      <c r="AA52" s="545"/>
      <c r="AB52" s="545"/>
      <c r="AC52" s="545"/>
      <c r="AD52" s="545"/>
      <c r="AE52" s="545"/>
      <c r="AF52" s="545"/>
      <c r="AG52" s="545"/>
      <c r="AH52" s="545"/>
      <c r="AI52" s="545"/>
      <c r="AJ52" s="545"/>
      <c r="AK52" s="545"/>
      <c r="AM52" s="129"/>
      <c r="AN52" s="129" t="str">
        <f t="shared" si="3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240</v>
      </c>
      <c r="U53" s="545"/>
      <c r="V53" s="545"/>
      <c r="W53" s="545"/>
      <c r="X53" s="545"/>
      <c r="Y53" s="545"/>
      <c r="Z53" s="545"/>
      <c r="AA53" s="545"/>
      <c r="AB53" s="545"/>
      <c r="AC53" s="545"/>
      <c r="AD53" s="545"/>
      <c r="AE53" s="545"/>
      <c r="AF53" s="545"/>
      <c r="AG53" s="545"/>
      <c r="AH53" s="545"/>
      <c r="AI53" s="545"/>
      <c r="AJ53" s="545"/>
      <c r="AK53" s="545"/>
      <c r="AM53" s="129"/>
      <c r="AN53" s="129" t="str">
        <f t="shared" si="3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Q55" s="50">
        <v>14</v>
      </c>
    </row>
    <row r="56" ht="14.65" customHeight="1">
      <c r="O56" s="53"/>
      <c r="AQ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A0024-0000-461E-BA11-0057007D007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FB00AC-0049-41DC-BDA7-008300E600E8}"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5300E6-00D0-4E70-996C-005700150083}"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000C1-0075-4B80-B74D-000C009700BC}"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3"/>
      <c r="AK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37">IF(T2="","",T2)</f>
        <v xml:space="preserve">Наименование тарифа</v>
      </c>
      <c r="AO2" s="129"/>
      <c r="AP2" s="129"/>
      <c r="AQ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3"/>
      <c r="AC3" s="501" t="e">
        <f>INDEX(PT_DIFFERENTIATION_TER,MATCH(B3,PT_DIFFERENTIATION_TER_ID,0))</f>
        <v>#VALUE!</v>
      </c>
      <c r="AD3" s="502"/>
      <c r="AE3" s="502"/>
      <c r="AF3" s="502"/>
      <c r="AG3" s="502"/>
      <c r="AH3" s="502"/>
      <c r="AI3" s="502"/>
      <c r="AJ3" s="503"/>
      <c r="AK3" s="504" t="s">
        <v>400</v>
      </c>
      <c r="AM3" s="129"/>
      <c r="AN3" s="129" t="str">
        <f t="shared" si="37"/>
        <v xml:space="preserve">Территория действия тарифа</v>
      </c>
      <c r="AO3" s="129"/>
      <c r="AP3" s="129"/>
      <c r="AQ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518</v>
      </c>
      <c r="U4" s="500"/>
      <c r="V4" s="501"/>
      <c r="W4" s="502"/>
      <c r="X4" s="502"/>
      <c r="Y4" s="502"/>
      <c r="Z4" s="502"/>
      <c r="AA4" s="502"/>
      <c r="AB4" s="503"/>
      <c r="AC4" s="501" t="e">
        <f>INDEX(PT_DIFFERENTIATION_CS,MATCH(C4,PT_DIFFERENTIATION_CS_ID,0))</f>
        <v>#VALUE!</v>
      </c>
      <c r="AD4" s="502"/>
      <c r="AE4" s="502"/>
      <c r="AF4" s="502"/>
      <c r="AG4" s="502"/>
      <c r="AH4" s="502"/>
      <c r="AI4" s="502"/>
      <c r="AJ4" s="503"/>
      <c r="AK4" s="504" t="s">
        <v>519</v>
      </c>
      <c r="AM4" s="129"/>
      <c r="AN4" s="129" t="str">
        <f t="shared" si="37"/>
        <v xml:space="preserve">Наименование централизованной системы водоотведения</v>
      </c>
      <c r="AO4" s="129"/>
      <c r="AP4" s="129"/>
      <c r="AQ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482</v>
      </c>
      <c r="U5" s="500"/>
      <c r="V5" s="689"/>
      <c r="W5" s="690"/>
      <c r="X5" s="690"/>
      <c r="Y5" s="690"/>
      <c r="Z5" s="690"/>
      <c r="AA5" s="690"/>
      <c r="AB5" s="691"/>
      <c r="AC5" s="692"/>
      <c r="AD5" s="693"/>
      <c r="AE5" s="693"/>
      <c r="AF5" s="693"/>
      <c r="AG5" s="693"/>
      <c r="AH5" s="693"/>
      <c r="AI5" s="693"/>
      <c r="AJ5" s="694"/>
      <c r="AK5" s="504" t="s">
        <v>483</v>
      </c>
      <c r="AM5" s="129"/>
      <c r="AN5" s="129" t="str">
        <f t="shared" si="37"/>
        <v xml:space="preserve">Наименование признака дифференциации</v>
      </c>
      <c r="AO5" s="129"/>
      <c r="AP5" s="129"/>
      <c r="AQ5" s="50">
        <v>0</v>
      </c>
    </row>
    <row r="6" ht="23.25" hidden="1" customHeight="1">
      <c r="A6" s="493"/>
      <c r="B6" s="493"/>
      <c r="C6" s="493"/>
      <c r="D6" s="493"/>
      <c r="E6" s="505"/>
      <c r="F6" s="505"/>
      <c r="G6" s="505"/>
      <c r="H6" s="505"/>
      <c r="I6" s="517"/>
      <c r="J6" s="512" t="e">
        <f>I5&amp;".1"</f>
        <v>#VALUE!</v>
      </c>
      <c r="K6" s="493"/>
      <c r="L6" s="495" t="s">
        <v>408</v>
      </c>
      <c r="P6" s="132"/>
      <c r="Q6" s="132">
        <v>1</v>
      </c>
      <c r="R6" s="518"/>
      <c r="S6" s="498" t="e">
        <f>$J6</f>
        <v>#VALUE!</v>
      </c>
      <c r="T6" s="519" t="s">
        <v>409</v>
      </c>
      <c r="U6" s="500"/>
      <c r="V6" s="445"/>
      <c r="W6" s="515"/>
      <c r="X6" s="515"/>
      <c r="Y6" s="515"/>
      <c r="Z6" s="515"/>
      <c r="AA6" s="515"/>
      <c r="AB6" s="516"/>
      <c r="AC6" s="445"/>
      <c r="AD6" s="515"/>
      <c r="AE6" s="515"/>
      <c r="AF6" s="515"/>
      <c r="AG6" s="515"/>
      <c r="AH6" s="515"/>
      <c r="AI6" s="515"/>
      <c r="AJ6" s="516"/>
      <c r="AK6" s="631" t="s">
        <v>484</v>
      </c>
      <c r="AM6" s="129"/>
      <c r="AN6" s="129" t="str">
        <f t="shared" si="37"/>
        <v xml:space="preserve">Группа потребителей</v>
      </c>
      <c r="AO6" s="129"/>
      <c r="AP6" s="129"/>
      <c r="AQ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696"/>
      <c r="AK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7"/>
        <v/>
      </c>
      <c r="AO7" s="129"/>
      <c r="AP7" s="129"/>
      <c r="AQ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698"/>
      <c r="AK8" s="697"/>
      <c r="AM8" s="129"/>
      <c r="AN8" s="129" t="str">
        <f t="shared" si="37"/>
        <v/>
      </c>
      <c r="AO8" s="129"/>
      <c r="AP8" s="129"/>
      <c r="AQ8" s="50">
        <v>0</v>
      </c>
    </row>
    <row r="9" ht="21" hidden="1" customHeight="1">
      <c r="A9" s="493"/>
      <c r="B9" s="493"/>
      <c r="C9" s="493"/>
      <c r="D9" s="493"/>
      <c r="E9" s="505"/>
      <c r="F9" s="505"/>
      <c r="G9" s="505"/>
      <c r="H9" s="505"/>
      <c r="I9" s="517"/>
      <c r="J9" s="512"/>
      <c r="K9" s="493"/>
      <c r="L9" s="495"/>
      <c r="P9" s="132"/>
      <c r="Q9" s="132"/>
      <c r="R9" s="513"/>
      <c r="S9" s="529"/>
      <c r="T9" s="533" t="s">
        <v>485</v>
      </c>
      <c r="U9" s="214"/>
      <c r="V9" s="214"/>
      <c r="W9" s="214"/>
      <c r="X9" s="214"/>
      <c r="Y9" s="214"/>
      <c r="Z9" s="214"/>
      <c r="AA9" s="214"/>
      <c r="AB9" s="214"/>
      <c r="AC9" s="214"/>
      <c r="AD9" s="214"/>
      <c r="AE9" s="214"/>
      <c r="AF9" s="214"/>
      <c r="AG9" s="214"/>
      <c r="AH9" s="214"/>
      <c r="AI9" s="214"/>
      <c r="AJ9" s="214"/>
      <c r="AK9" s="504" t="s">
        <v>486</v>
      </c>
      <c r="AM9" s="129"/>
      <c r="AN9" s="129" t="str">
        <f t="shared" si="37"/>
        <v xml:space="preserve">Добавить значение признака дифференциации</v>
      </c>
      <c r="AO9" s="129"/>
      <c r="AP9" s="129"/>
      <c r="AQ9" s="50">
        <v>0</v>
      </c>
    </row>
    <row r="10" ht="21" hidden="1" customHeight="1">
      <c r="A10" s="493"/>
      <c r="B10" s="493"/>
      <c r="C10" s="493"/>
      <c r="D10" s="493"/>
      <c r="E10" s="505"/>
      <c r="F10" s="505"/>
      <c r="G10" s="505"/>
      <c r="H10" s="505"/>
      <c r="I10" s="512"/>
      <c r="J10" s="493"/>
      <c r="K10" s="493"/>
      <c r="L10" s="495"/>
      <c r="P10" s="132"/>
      <c r="Q10" s="132"/>
      <c r="R10" s="513"/>
      <c r="S10" s="529"/>
      <c r="T10" s="537" t="s">
        <v>414</v>
      </c>
      <c r="U10" s="214"/>
      <c r="V10" s="214"/>
      <c r="W10" s="214"/>
      <c r="X10" s="214"/>
      <c r="Y10" s="214"/>
      <c r="Z10" s="214"/>
      <c r="AA10" s="214"/>
      <c r="AB10" s="534"/>
      <c r="AC10" s="214"/>
      <c r="AD10" s="214"/>
      <c r="AE10" s="214"/>
      <c r="AF10" s="214"/>
      <c r="AG10" s="214"/>
      <c r="AH10" s="214"/>
      <c r="AI10" s="534"/>
      <c r="AJ10" s="214"/>
      <c r="AK10" s="699"/>
      <c r="AM10" s="129"/>
      <c r="AN10" s="129" t="str">
        <f t="shared" ref="AN10:AN53" si="38">IF(T10="","",T10)</f>
        <v xml:space="preserve">Добавить группу потребителей</v>
      </c>
      <c r="AO10" s="129"/>
      <c r="AP10" s="129"/>
      <c r="AQ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487</v>
      </c>
      <c r="U11" s="214"/>
      <c r="V11" s="214"/>
      <c r="W11" s="214"/>
      <c r="X11" s="214"/>
      <c r="Y11" s="214"/>
      <c r="Z11" s="214"/>
      <c r="AA11" s="214"/>
      <c r="AB11" s="534"/>
      <c r="AC11" s="214"/>
      <c r="AD11" s="214"/>
      <c r="AE11" s="214"/>
      <c r="AF11" s="214"/>
      <c r="AG11" s="214"/>
      <c r="AH11" s="214"/>
      <c r="AI11" s="534"/>
      <c r="AJ11" s="214"/>
      <c r="AK11" s="535"/>
      <c r="AM11" s="129"/>
      <c r="AN11" s="129" t="str">
        <f t="shared" si="38"/>
        <v xml:space="preserve">Добавить наименование признака дифференциации</v>
      </c>
      <c r="AO11" s="129"/>
      <c r="AP11" s="129"/>
      <c r="AQ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238</v>
      </c>
      <c r="U12" s="545"/>
      <c r="V12" s="545"/>
      <c r="W12" s="545"/>
      <c r="X12" s="545"/>
      <c r="Y12" s="545"/>
      <c r="Z12" s="545"/>
      <c r="AA12" s="545"/>
      <c r="AB12" s="545"/>
      <c r="AC12" s="545"/>
      <c r="AD12" s="545"/>
      <c r="AE12" s="545"/>
      <c r="AF12" s="545"/>
      <c r="AG12" s="545"/>
      <c r="AH12" s="545"/>
      <c r="AI12" s="545"/>
      <c r="AJ12" s="545"/>
      <c r="AK12" s="545"/>
      <c r="AM12" s="129"/>
      <c r="AN12" s="129" t="str">
        <f t="shared" si="38"/>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239</v>
      </c>
      <c r="U13" s="545"/>
      <c r="V13" s="545"/>
      <c r="W13" s="545"/>
      <c r="X13" s="545"/>
      <c r="Y13" s="545"/>
      <c r="Z13" s="545"/>
      <c r="AA13" s="545"/>
      <c r="AB13" s="545"/>
      <c r="AC13" s="545"/>
      <c r="AD13" s="545"/>
      <c r="AE13" s="545"/>
      <c r="AF13" s="545"/>
      <c r="AG13" s="545"/>
      <c r="AH13" s="545"/>
      <c r="AI13" s="545"/>
      <c r="AJ13" s="545"/>
      <c r="AK13" s="545"/>
      <c r="AM13" s="129"/>
      <c r="AN13" s="129" t="str">
        <f t="shared" si="38"/>
        <v xml:space="preserve">Добавить территорию для дифференциации</v>
      </c>
      <c r="AO13" s="129"/>
      <c r="AP13" s="129"/>
      <c r="AQ13" s="57">
        <v>0</v>
      </c>
    </row>
    <row r="14" ht="14.25" hidden="1" customHeight="1">
      <c r="AB14" s="50"/>
      <c r="AI14" s="50"/>
      <c r="AQ14" s="50">
        <v>0</v>
      </c>
    </row>
    <row r="15" ht="14.25" hidden="1" customHeight="1">
      <c r="AC15" s="547"/>
      <c r="AD15" s="547"/>
      <c r="AE15" s="548"/>
      <c r="AF15" s="549"/>
      <c r="AG15" s="550" t="s">
        <v>66</v>
      </c>
      <c r="AH15" s="549"/>
      <c r="AI15" s="550" t="s">
        <v>66</v>
      </c>
      <c r="AQ15" s="50">
        <v>0</v>
      </c>
    </row>
    <row r="16" ht="14.25" hidden="1" customHeight="1">
      <c r="AC16" s="547"/>
      <c r="AD16" s="547"/>
      <c r="AE16" s="526" t="str">
        <f>AF15&amp;"-"&amp;AH15</f>
        <v>-</v>
      </c>
      <c r="AF16" s="550"/>
      <c r="AG16" s="550"/>
      <c r="AH16" s="550"/>
      <c r="AI16" s="550"/>
      <c r="AQ16" s="50">
        <v>0</v>
      </c>
    </row>
    <row r="17" ht="14.25" hidden="1" customHeight="1">
      <c r="AI17" s="50"/>
      <c r="AQ17" s="50">
        <v>0</v>
      </c>
    </row>
    <row r="18" s="53" customFormat="1" ht="22.5" hidden="1" customHeight="1">
      <c r="L18" s="113"/>
      <c r="M18" s="61"/>
      <c r="N18" s="61"/>
      <c r="O18" s="551" t="s">
        <v>417</v>
      </c>
      <c r="P18" s="61"/>
      <c r="Q18" s="552"/>
      <c r="R18" s="552"/>
      <c r="S18" s="496"/>
      <c r="Y18" s="551"/>
      <c r="AA18" s="551"/>
      <c r="AB18" s="53"/>
      <c r="AF18" s="551"/>
      <c r="AH18" s="551"/>
      <c r="AI18" s="53"/>
      <c r="AL18" s="57"/>
      <c r="AM18" s="57"/>
      <c r="AN18" s="57"/>
      <c r="AO18" s="57"/>
      <c r="AP18" s="57"/>
      <c r="AQ18" s="53">
        <v>0</v>
      </c>
    </row>
    <row r="19" s="53" customFormat="1" ht="14.25" hidden="1" customHeight="1">
      <c r="L19" s="113"/>
      <c r="M19" s="61"/>
      <c r="N19" s="61"/>
      <c r="O19" s="61"/>
      <c r="P19" s="61"/>
      <c r="Q19" s="552"/>
      <c r="R19" s="552"/>
      <c r="S19" s="496"/>
      <c r="AB19" s="53"/>
      <c r="AI19" s="53"/>
      <c r="AL19" s="57"/>
      <c r="AM19" s="57"/>
      <c r="AN19" s="57"/>
      <c r="AO19" s="57"/>
      <c r="AP19" s="57"/>
      <c r="AQ19" s="53">
        <v>0</v>
      </c>
    </row>
    <row r="20" s="53" customFormat="1" ht="12" hidden="1" customHeight="1">
      <c r="L20" s="113"/>
      <c r="M20" s="61"/>
      <c r="N20" s="61"/>
      <c r="O20" s="495" t="s">
        <v>418</v>
      </c>
      <c r="P20" s="61"/>
      <c r="Q20" s="701"/>
      <c r="R20" s="701"/>
      <c r="S20" s="496"/>
      <c r="T20" s="53" t="s">
        <v>419</v>
      </c>
      <c r="Z20" s="151" t="s">
        <v>420</v>
      </c>
      <c r="AB20" s="151" t="s">
        <v>421</v>
      </c>
      <c r="AC20" s="53" t="s">
        <v>419</v>
      </c>
      <c r="AG20" s="151" t="s">
        <v>422</v>
      </c>
      <c r="AI20" s="151" t="s">
        <v>421</v>
      </c>
      <c r="AQ20" s="53">
        <v>0</v>
      </c>
    </row>
    <row r="21" ht="14.25" hidden="1" customHeight="1">
      <c r="O21" s="495"/>
      <c r="AQ21" s="50">
        <v>0</v>
      </c>
    </row>
    <row r="22" ht="14.25" hidden="1" customHeight="1">
      <c r="O22" s="495"/>
      <c r="AQ22" s="50">
        <v>0</v>
      </c>
    </row>
    <row r="23" ht="14.65" customHeight="1">
      <c r="Q23" s="553"/>
      <c r="R23" s="553"/>
      <c r="S23" s="554"/>
      <c r="T23" s="91"/>
      <c r="U23" s="91"/>
      <c r="V23" s="50"/>
      <c r="W23" s="50"/>
      <c r="X23" s="50"/>
      <c r="Y23" s="50"/>
      <c r="Z23" s="50"/>
      <c r="AA23" s="50"/>
      <c r="AB23" s="50"/>
      <c r="AC23" s="50"/>
      <c r="AD23" s="50"/>
      <c r="AE23" s="50"/>
      <c r="AF23" s="50"/>
      <c r="AG23" s="50"/>
      <c r="AH23" s="50"/>
      <c r="AI23" s="50"/>
      <c r="AQ23" s="50">
        <v>14</v>
      </c>
    </row>
    <row r="24" ht="14.65" customHeight="1">
      <c r="Q24" s="553"/>
      <c r="R24" s="553"/>
      <c r="S24" s="466"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6"/>
      <c r="U24" s="466"/>
      <c r="V24" s="466"/>
      <c r="W24" s="466"/>
      <c r="X24" s="466"/>
      <c r="Y24" s="466"/>
      <c r="Z24" s="466"/>
      <c r="AA24" s="466"/>
      <c r="AB24" s="466"/>
      <c r="AC24" s="466"/>
      <c r="AD24" s="466"/>
      <c r="AE24" s="466"/>
      <c r="AF24" s="466"/>
      <c r="AG24" s="466"/>
      <c r="AH24" s="466"/>
      <c r="AI24" s="240"/>
      <c r="AQ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0"/>
      <c r="AK27" s="559"/>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95"/>
      <c r="M28" s="151"/>
      <c r="N28" s="151"/>
      <c r="O28" s="151"/>
      <c r="S28" s="556" t="s">
        <v>423</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0"/>
      <c r="AK28" s="559"/>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95"/>
      <c r="M29" s="151"/>
      <c r="N29" s="151"/>
      <c r="O29" s="151"/>
      <c r="S29" s="556" t="s">
        <v>424</v>
      </c>
      <c r="T29" s="556"/>
      <c r="U29" s="557"/>
      <c r="V29" s="558" t="str">
        <f>IF(TITLE_NUMBER_PR_CHANGE="",IF(TITLE_NUMBER_PR="","",TITLE_NUMBER_PR),TITLE_NUMBER_PR_CHANGE)</f>
        <v>ПГ/01/950</v>
      </c>
      <c r="W29" s="558"/>
      <c r="X29" s="558"/>
      <c r="Y29" s="558"/>
      <c r="Z29" s="558"/>
      <c r="AA29" s="558"/>
      <c r="AB29" s="50"/>
      <c r="AC29" s="558" t="str">
        <f>IF(TITLE_NUMBER_PR_CHANGE="",IF(TITLE_NUMBER_PR="","",TITLE_NUMBER_PR),TITLE_NUMBER_PR_CHANGE)</f>
        <v>ПГ/01/950</v>
      </c>
      <c r="AD29" s="558"/>
      <c r="AE29" s="558"/>
      <c r="AF29" s="558"/>
      <c r="AG29" s="558"/>
      <c r="AH29" s="558"/>
      <c r="AI29" s="50"/>
      <c r="AJ29" s="50"/>
      <c r="AK29" s="559"/>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0"/>
      <c r="AK30" s="559"/>
      <c r="AL30" s="129"/>
      <c r="AM30" s="129"/>
      <c r="AN30" s="129"/>
      <c r="AO30" s="129"/>
      <c r="AP30" s="129"/>
      <c r="AQ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customHeight="1">
      <c r="A32" s="151"/>
      <c r="B32" s="151"/>
      <c r="C32" s="151"/>
      <c r="D32" s="151"/>
      <c r="E32" s="151"/>
      <c r="F32" s="151"/>
      <c r="G32" s="151"/>
      <c r="H32" s="151"/>
      <c r="I32" s="151"/>
      <c r="J32" s="151"/>
      <c r="K32" s="151"/>
      <c r="L32" s="495"/>
      <c r="M32" s="151"/>
      <c r="N32" s="151"/>
      <c r="O32" s="151"/>
      <c r="S32" s="556" t="s">
        <v>425</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0"/>
      <c r="AK32" s="559"/>
      <c r="AL32" s="129"/>
      <c r="AM32" s="129"/>
      <c r="AN32" s="129"/>
      <c r="AO32" s="129"/>
      <c r="AP32" s="129"/>
      <c r="AQ32" s="184">
        <v>0</v>
      </c>
    </row>
    <row r="33" s="184" customFormat="1" ht="18.75" customHeight="1">
      <c r="A33" s="151"/>
      <c r="B33" s="151"/>
      <c r="C33" s="151"/>
      <c r="D33" s="151"/>
      <c r="E33" s="151"/>
      <c r="F33" s="151"/>
      <c r="G33" s="151"/>
      <c r="H33" s="151"/>
      <c r="I33" s="151"/>
      <c r="J33" s="151"/>
      <c r="K33" s="151"/>
      <c r="L33" s="495"/>
      <c r="M33" s="151"/>
      <c r="N33" s="151"/>
      <c r="O33" s="151"/>
      <c r="S33" s="556" t="s">
        <v>426</v>
      </c>
      <c r="T33" s="556"/>
      <c r="U33" s="557"/>
      <c r="V33" s="558" t="str">
        <f>IF(TITLE_NUMBER_PR_CHANGE="",IF(TITLE_NUMBER_PR="","",TITLE_NUMBER_PR),TITLE_NUMBER_PR_CHANGE)</f>
        <v>ПГ/01/950</v>
      </c>
      <c r="W33" s="558"/>
      <c r="X33" s="558"/>
      <c r="Y33" s="558"/>
      <c r="Z33" s="558"/>
      <c r="AA33" s="558"/>
      <c r="AB33" s="50"/>
      <c r="AC33" s="558" t="str">
        <f>IF(TITLE_NUMBER_PR_CHANGE="",IF(TITLE_NUMBER_PR="","",TITLE_NUMBER_PR),TITLE_NUMBER_PR_CHANGE)</f>
        <v>ПГ/01/950</v>
      </c>
      <c r="AD33" s="558"/>
      <c r="AE33" s="558"/>
      <c r="AF33" s="558"/>
      <c r="AG33" s="558"/>
      <c r="AH33" s="558"/>
      <c r="AI33" s="50"/>
      <c r="AJ33" s="50"/>
      <c r="AK33" s="559"/>
      <c r="AL33" s="129"/>
      <c r="AM33" s="129"/>
      <c r="AN33" s="129"/>
      <c r="AO33" s="129"/>
      <c r="AP33" s="129"/>
      <c r="AQ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427</v>
      </c>
      <c r="AC34" s="50"/>
      <c r="AD34" s="50"/>
      <c r="AE34" s="50"/>
      <c r="AF34" s="50"/>
      <c r="AG34" s="50"/>
      <c r="AH34" s="50"/>
      <c r="AI34" s="57" t="s">
        <v>427</v>
      </c>
      <c r="AL34" s="129"/>
      <c r="AM34" s="129"/>
      <c r="AN34" s="129"/>
      <c r="AO34" s="129"/>
      <c r="AP34" s="129"/>
      <c r="AQ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553"/>
      <c r="R36" s="553"/>
      <c r="S36" s="157" t="s">
        <v>302</v>
      </c>
      <c r="T36" s="157"/>
      <c r="U36" s="157"/>
      <c r="V36" s="157"/>
      <c r="W36" s="157"/>
      <c r="X36" s="157"/>
      <c r="Y36" s="157"/>
      <c r="Z36" s="157"/>
      <c r="AA36" s="157"/>
      <c r="AB36" s="157"/>
      <c r="AC36" s="157"/>
      <c r="AD36" s="157"/>
      <c r="AE36" s="157"/>
      <c r="AF36" s="157"/>
      <c r="AG36" s="157"/>
      <c r="AH36" s="157"/>
      <c r="AI36" s="157"/>
      <c r="AJ36" s="157"/>
      <c r="AK36" s="157" t="s">
        <v>303</v>
      </c>
      <c r="AQ36" s="50">
        <v>14</v>
      </c>
    </row>
    <row r="37" ht="14.65" customHeight="1">
      <c r="Q37" s="553"/>
      <c r="R37" s="553"/>
      <c r="S37" s="498" t="s">
        <v>88</v>
      </c>
      <c r="T37" s="362" t="s">
        <v>428</v>
      </c>
      <c r="U37" s="563"/>
      <c r="V37" s="564" t="s">
        <v>429</v>
      </c>
      <c r="W37" s="565"/>
      <c r="X37" s="565"/>
      <c r="Y37" s="565"/>
      <c r="Z37" s="565"/>
      <c r="AA37" s="566"/>
      <c r="AB37" s="567" t="s">
        <v>430</v>
      </c>
      <c r="AC37" s="564" t="s">
        <v>429</v>
      </c>
      <c r="AD37" s="565"/>
      <c r="AE37" s="565"/>
      <c r="AF37" s="565"/>
      <c r="AG37" s="565"/>
      <c r="AH37" s="566"/>
      <c r="AI37" s="567" t="s">
        <v>431</v>
      </c>
      <c r="AJ37" s="568" t="s">
        <v>432</v>
      </c>
      <c r="AK37" s="157"/>
      <c r="AQ37" s="50">
        <v>14</v>
      </c>
    </row>
    <row r="38" ht="35.649999999999999" customHeight="1">
      <c r="Q38" s="553"/>
      <c r="R38" s="553"/>
      <c r="S38" s="498"/>
      <c r="T38" s="362"/>
      <c r="U38" s="569"/>
      <c r="V38" s="324" t="s">
        <v>488</v>
      </c>
      <c r="W38" s="73" t="s">
        <v>435</v>
      </c>
      <c r="X38" s="72"/>
      <c r="Y38" s="73" t="s">
        <v>436</v>
      </c>
      <c r="Z38" s="145"/>
      <c r="AA38" s="72"/>
      <c r="AB38" s="571"/>
      <c r="AC38" s="324" t="s">
        <v>488</v>
      </c>
      <c r="AD38" s="73" t="s">
        <v>435</v>
      </c>
      <c r="AE38" s="72"/>
      <c r="AF38" s="73" t="s">
        <v>436</v>
      </c>
      <c r="AG38" s="145"/>
      <c r="AH38" s="72"/>
      <c r="AI38" s="571"/>
      <c r="AJ38" s="572"/>
      <c r="AK38" s="157"/>
      <c r="AQ38" s="50">
        <v>34</v>
      </c>
    </row>
    <row r="39" ht="90.299999999999997" customHeight="1">
      <c r="A39" s="151"/>
      <c r="B39" s="151" t="s">
        <v>135</v>
      </c>
      <c r="C39" s="151" t="s">
        <v>136</v>
      </c>
      <c r="D39" s="151" t="s">
        <v>137</v>
      </c>
      <c r="E39" s="495" t="s">
        <v>437</v>
      </c>
      <c r="F39" s="495" t="s">
        <v>438</v>
      </c>
      <c r="G39" s="495" t="s">
        <v>439</v>
      </c>
      <c r="H39" s="495"/>
      <c r="I39" s="495" t="s">
        <v>489</v>
      </c>
      <c r="J39" s="495" t="s">
        <v>442</v>
      </c>
      <c r="K39" s="495" t="s">
        <v>490</v>
      </c>
      <c r="L39" s="495" t="s">
        <v>418</v>
      </c>
      <c r="Q39" s="553"/>
      <c r="R39" s="553"/>
      <c r="S39" s="498"/>
      <c r="T39" s="362"/>
      <c r="U39" s="573"/>
      <c r="V39" s="324" t="s">
        <v>520</v>
      </c>
      <c r="W39" s="246" t="s">
        <v>521</v>
      </c>
      <c r="X39" s="246" t="s">
        <v>493</v>
      </c>
      <c r="Y39" s="246" t="s">
        <v>446</v>
      </c>
      <c r="Z39" s="429" t="s">
        <v>447</v>
      </c>
      <c r="AA39" s="431"/>
      <c r="AB39" s="575"/>
      <c r="AC39" s="324" t="s">
        <v>520</v>
      </c>
      <c r="AD39" s="246" t="s">
        <v>521</v>
      </c>
      <c r="AE39" s="246" t="s">
        <v>493</v>
      </c>
      <c r="AF39" s="246" t="s">
        <v>446</v>
      </c>
      <c r="AG39" s="429" t="s">
        <v>447</v>
      </c>
      <c r="AH39" s="431"/>
      <c r="AI39" s="575"/>
      <c r="AJ39" s="576"/>
      <c r="AK39" s="157"/>
      <c r="AQ39" s="50">
        <v>86</v>
      </c>
    </row>
    <row r="40" s="131" customFormat="1" ht="0"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2">
        <f ca="1">OFFSET(AJ40,0,-1)</f>
        <v>14</v>
      </c>
      <c r="AK40" s="583">
        <f ca="1">OFFSET(AK40,0,-1)+1</f>
        <v>15</v>
      </c>
      <c r="AL40" s="57"/>
      <c r="AM40" s="57"/>
      <c r="AN40" s="57"/>
      <c r="AO40" s="57"/>
      <c r="AP40" s="57"/>
      <c r="AQ40" s="131">
        <v>0</v>
      </c>
    </row>
    <row r="41" ht="24" customHeight="1">
      <c r="A41" s="493" t="s">
        <v>273</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0</v>
      </c>
      <c r="T41" s="499" t="s">
        <v>123</v>
      </c>
      <c r="U41" s="500"/>
      <c r="V41" s="501"/>
      <c r="W41" s="502"/>
      <c r="X41" s="502"/>
      <c r="Y41" s="502"/>
      <c r="Z41" s="502"/>
      <c r="AA41" s="502"/>
      <c r="AB41" s="503"/>
      <c r="AC41" s="501" t="str">
        <f>INDEX(PT_DIFFERENTIATION_NTAR,MATCH(A41,PT_DIFFERENTIATION_NTAR_ID,0))</f>
        <v/>
      </c>
      <c r="AD41" s="502"/>
      <c r="AE41" s="502"/>
      <c r="AF41" s="502"/>
      <c r="AG41" s="502"/>
      <c r="AH41" s="502"/>
      <c r="AI41" s="502"/>
      <c r="AJ41" s="503"/>
      <c r="AK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8"/>
        <v xml:space="preserve">Наименование тарифа</v>
      </c>
      <c r="AO41" s="129"/>
      <c r="AP41" s="129"/>
      <c r="AQ41" s="50">
        <v>23</v>
      </c>
    </row>
    <row r="42" ht="24" customHeight="1">
      <c r="A42" s="493" t="s">
        <v>273</v>
      </c>
      <c r="B42" s="493" t="s">
        <v>274</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v>
      </c>
      <c r="T42" s="508" t="s">
        <v>399</v>
      </c>
      <c r="U42" s="500"/>
      <c r="V42" s="501"/>
      <c r="W42" s="502"/>
      <c r="X42" s="502"/>
      <c r="Y42" s="502"/>
      <c r="Z42" s="502"/>
      <c r="AA42" s="502"/>
      <c r="AB42" s="503"/>
      <c r="AC42" s="501" t="str">
        <f>INDEX(PT_DIFFERENTIATION_TER,MATCH(B42,PT_DIFFERENTIATION_TER_ID,0))</f>
        <v/>
      </c>
      <c r="AD42" s="502"/>
      <c r="AE42" s="502"/>
      <c r="AF42" s="502"/>
      <c r="AG42" s="502"/>
      <c r="AH42" s="502"/>
      <c r="AI42" s="502"/>
      <c r="AJ42" s="503"/>
      <c r="AK42" s="504" t="s">
        <v>400</v>
      </c>
      <c r="AM42" s="129"/>
      <c r="AN42" s="129" t="str">
        <f t="shared" si="38"/>
        <v xml:space="preserve">Территория действия тарифа</v>
      </c>
      <c r="AO42" s="129"/>
      <c r="AP42" s="129"/>
      <c r="AQ42" s="50">
        <v>23</v>
      </c>
    </row>
    <row r="43" ht="24" customHeight="1">
      <c r="A43" s="493" t="s">
        <v>273</v>
      </c>
      <c r="B43" s="493" t="s">
        <v>274</v>
      </c>
      <c r="C43" s="493" t="s">
        <v>275</v>
      </c>
      <c r="D43" s="493"/>
      <c r="E43" s="505"/>
      <c r="F43" s="505"/>
      <c r="G43" s="494">
        <v>1</v>
      </c>
      <c r="H43" s="493"/>
      <c r="I43" s="493"/>
      <c r="J43" s="493"/>
      <c r="K43" s="493"/>
      <c r="L43" s="495"/>
      <c r="M43" s="496"/>
      <c r="N43" s="496"/>
      <c r="O43" s="496"/>
      <c r="P43" s="509"/>
      <c r="Q43" s="506"/>
      <c r="R43" s="507"/>
      <c r="S43" s="498" t="str">
        <f>INDEX(PT_DIFFERENTIATION_NUM_CS,MATCH(C43,PT_DIFFERENTIATION_CS_ID,0))</f>
        <v>..</v>
      </c>
      <c r="T43" s="510" t="s">
        <v>518</v>
      </c>
      <c r="U43" s="500"/>
      <c r="V43" s="501"/>
      <c r="W43" s="502"/>
      <c r="X43" s="502"/>
      <c r="Y43" s="502"/>
      <c r="Z43" s="502"/>
      <c r="AA43" s="502"/>
      <c r="AB43" s="503"/>
      <c r="AC43" s="501" t="str">
        <f>INDEX(PT_DIFFERENTIATION_CS,MATCH(C43,PT_DIFFERENTIATION_CS_ID,0))</f>
        <v/>
      </c>
      <c r="AD43" s="502"/>
      <c r="AE43" s="502"/>
      <c r="AF43" s="502"/>
      <c r="AG43" s="502"/>
      <c r="AH43" s="502"/>
      <c r="AI43" s="502"/>
      <c r="AJ43" s="503"/>
      <c r="AK43" s="504" t="s">
        <v>519</v>
      </c>
      <c r="AM43" s="129"/>
      <c r="AN43" s="129" t="str">
        <f t="shared" si="38"/>
        <v xml:space="preserve">Наименование централизованной системы водоотведения</v>
      </c>
      <c r="AO43" s="129"/>
      <c r="AP43" s="129"/>
      <c r="AQ43" s="50">
        <v>23</v>
      </c>
    </row>
    <row r="44" ht="24" customHeight="1">
      <c r="A44" s="493" t="s">
        <v>273</v>
      </c>
      <c r="B44" s="493" t="s">
        <v>274</v>
      </c>
      <c r="C44" s="493" t="s">
        <v>275</v>
      </c>
      <c r="D44" s="493" t="s">
        <v>523</v>
      </c>
      <c r="E44" s="505"/>
      <c r="F44" s="505"/>
      <c r="G44" s="505"/>
      <c r="H44" s="505"/>
      <c r="I44" s="512" t="str">
        <f>S43&amp;".1"</f>
        <v>...1</v>
      </c>
      <c r="J44" s="493"/>
      <c r="K44" s="493"/>
      <c r="L44" s="495"/>
      <c r="P44" s="132">
        <v>1</v>
      </c>
      <c r="Q44" s="132"/>
      <c r="R44" s="513"/>
      <c r="S44" s="498" t="str">
        <f>$I44</f>
        <v>...1</v>
      </c>
      <c r="T44" s="514" t="s">
        <v>482</v>
      </c>
      <c r="U44" s="500"/>
      <c r="V44" s="689"/>
      <c r="W44" s="690"/>
      <c r="X44" s="690"/>
      <c r="Y44" s="690"/>
      <c r="Z44" s="690"/>
      <c r="AA44" s="690"/>
      <c r="AB44" s="691"/>
      <c r="AC44" s="692"/>
      <c r="AD44" s="693"/>
      <c r="AE44" s="693"/>
      <c r="AF44" s="693"/>
      <c r="AG44" s="693"/>
      <c r="AH44" s="693"/>
      <c r="AI44" s="693"/>
      <c r="AJ44" s="694"/>
      <c r="AK44" s="504" t="s">
        <v>483</v>
      </c>
      <c r="AM44" s="129"/>
      <c r="AN44" s="129" t="str">
        <f t="shared" si="38"/>
        <v xml:space="preserve">Наименование признака дифференциации</v>
      </c>
      <c r="AO44" s="129"/>
      <c r="AP44" s="129"/>
      <c r="AQ44" s="50">
        <v>23</v>
      </c>
    </row>
    <row r="45" ht="24" customHeight="1">
      <c r="A45" s="493" t="s">
        <v>273</v>
      </c>
      <c r="B45" s="493" t="s">
        <v>274</v>
      </c>
      <c r="C45" s="493" t="s">
        <v>275</v>
      </c>
      <c r="D45" s="493" t="s">
        <v>523</v>
      </c>
      <c r="E45" s="505"/>
      <c r="F45" s="505"/>
      <c r="G45" s="505"/>
      <c r="H45" s="505"/>
      <c r="I45" s="517"/>
      <c r="J45" s="512" t="str">
        <f>I44&amp;".1"</f>
        <v>...1.1</v>
      </c>
      <c r="K45" s="493"/>
      <c r="L45" s="495" t="s">
        <v>408</v>
      </c>
      <c r="P45" s="132"/>
      <c r="Q45" s="132">
        <v>1</v>
      </c>
      <c r="R45" s="518"/>
      <c r="S45" s="498" t="str">
        <f>$J45</f>
        <v>...1.1</v>
      </c>
      <c r="T45" s="519" t="s">
        <v>409</v>
      </c>
      <c r="U45" s="500"/>
      <c r="V45" s="445"/>
      <c r="W45" s="515"/>
      <c r="X45" s="515"/>
      <c r="Y45" s="515"/>
      <c r="Z45" s="515"/>
      <c r="AA45" s="515"/>
      <c r="AB45" s="516"/>
      <c r="AC45" s="445"/>
      <c r="AD45" s="515"/>
      <c r="AE45" s="515"/>
      <c r="AF45" s="515"/>
      <c r="AG45" s="515"/>
      <c r="AH45" s="515"/>
      <c r="AI45" s="515"/>
      <c r="AJ45" s="516"/>
      <c r="AK45" s="631" t="s">
        <v>484</v>
      </c>
      <c r="AM45" s="129"/>
      <c r="AN45" s="129" t="str">
        <f t="shared" si="38"/>
        <v xml:space="preserve">Группа потребителей</v>
      </c>
      <c r="AO45" s="129"/>
      <c r="AP45" s="129"/>
      <c r="AQ45" s="50">
        <v>23</v>
      </c>
    </row>
    <row r="46" ht="24" customHeight="1">
      <c r="A46" s="493" t="s">
        <v>273</v>
      </c>
      <c r="B46" s="493" t="s">
        <v>274</v>
      </c>
      <c r="C46" s="493" t="s">
        <v>275</v>
      </c>
      <c r="D46" s="493" t="s">
        <v>523</v>
      </c>
      <c r="E46" s="505"/>
      <c r="F46" s="505"/>
      <c r="G46" s="505"/>
      <c r="H46" s="505"/>
      <c r="I46" s="517"/>
      <c r="J46" s="517"/>
      <c r="K46" s="512" t="str">
        <f>J45&amp;".1"</f>
        <v>...1.1.1</v>
      </c>
      <c r="L46" s="495"/>
      <c r="P46" s="132"/>
      <c r="Q46" s="132"/>
      <c r="R46" s="518">
        <v>1</v>
      </c>
      <c r="S46" s="498" t="str">
        <f>$K46</f>
        <v>...1.1.1</v>
      </c>
      <c r="T46" s="695"/>
      <c r="U46" s="500"/>
      <c r="V46" s="547"/>
      <c r="W46" s="547"/>
      <c r="X46" s="548"/>
      <c r="Y46" s="549"/>
      <c r="Z46" s="550" t="s">
        <v>66</v>
      </c>
      <c r="AA46" s="549"/>
      <c r="AB46" s="550" t="s">
        <v>66</v>
      </c>
      <c r="AC46" s="521"/>
      <c r="AD46" s="521"/>
      <c r="AE46" s="523"/>
      <c r="AF46" s="524"/>
      <c r="AG46" s="224" t="s">
        <v>66</v>
      </c>
      <c r="AH46" s="584"/>
      <c r="AI46" s="224" t="s">
        <v>19</v>
      </c>
      <c r="AJ46" s="696"/>
      <c r="AK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8"/>
        <v/>
      </c>
      <c r="AO46" s="129"/>
      <c r="AP46" s="129"/>
      <c r="AQ46" s="50">
        <v>23</v>
      </c>
    </row>
    <row r="47" ht="0" customHeight="1">
      <c r="A47" s="493" t="s">
        <v>273</v>
      </c>
      <c r="B47" s="493" t="s">
        <v>274</v>
      </c>
      <c r="C47" s="493" t="s">
        <v>275</v>
      </c>
      <c r="D47" s="493" t="s">
        <v>523</v>
      </c>
      <c r="E47" s="505"/>
      <c r="F47" s="505"/>
      <c r="G47" s="505"/>
      <c r="H47" s="505"/>
      <c r="I47" s="517"/>
      <c r="J47" s="517"/>
      <c r="K47" s="512"/>
      <c r="L47" s="495"/>
      <c r="P47" s="132"/>
      <c r="Q47" s="132"/>
      <c r="R47" s="518"/>
      <c r="S47" s="472"/>
      <c r="T47" s="500"/>
      <c r="U47" s="500"/>
      <c r="V47" s="547"/>
      <c r="W47" s="547"/>
      <c r="X47" s="526" t="str">
        <f>Y46&amp;"-"&amp;AA46</f>
        <v>-</v>
      </c>
      <c r="Y47" s="550"/>
      <c r="Z47" s="550"/>
      <c r="AA47" s="550"/>
      <c r="AB47" s="550"/>
      <c r="AC47" s="522"/>
      <c r="AD47" s="522"/>
      <c r="AE47" s="526" t="str">
        <f>AF46&amp;"-"&amp;AH46</f>
        <v>-</v>
      </c>
      <c r="AF47" s="527"/>
      <c r="AG47" s="224"/>
      <c r="AH47" s="586"/>
      <c r="AI47" s="224"/>
      <c r="AJ47" s="698"/>
      <c r="AK47" s="697"/>
      <c r="AM47" s="129"/>
      <c r="AN47" s="129" t="str">
        <f t="shared" si="38"/>
        <v/>
      </c>
      <c r="AO47" s="129"/>
      <c r="AP47" s="129"/>
      <c r="AQ47" s="50">
        <v>0</v>
      </c>
    </row>
    <row r="48" ht="21" customHeight="1">
      <c r="A48" s="493" t="s">
        <v>273</v>
      </c>
      <c r="B48" s="493" t="s">
        <v>274</v>
      </c>
      <c r="C48" s="493" t="s">
        <v>275</v>
      </c>
      <c r="D48" s="493" t="s">
        <v>523</v>
      </c>
      <c r="E48" s="505"/>
      <c r="F48" s="505"/>
      <c r="G48" s="505"/>
      <c r="H48" s="505"/>
      <c r="I48" s="517"/>
      <c r="J48" s="512"/>
      <c r="K48" s="493"/>
      <c r="L48" s="495"/>
      <c r="P48" s="132"/>
      <c r="Q48" s="132"/>
      <c r="R48" s="513"/>
      <c r="S48" s="529"/>
      <c r="T48" s="533" t="s">
        <v>485</v>
      </c>
      <c r="U48" s="214"/>
      <c r="V48" s="214"/>
      <c r="W48" s="214"/>
      <c r="X48" s="214"/>
      <c r="Y48" s="214"/>
      <c r="Z48" s="214"/>
      <c r="AA48" s="214"/>
      <c r="AB48" s="214"/>
      <c r="AC48" s="214"/>
      <c r="AD48" s="214"/>
      <c r="AE48" s="214"/>
      <c r="AF48" s="214"/>
      <c r="AG48" s="214"/>
      <c r="AH48" s="214"/>
      <c r="AI48" s="214"/>
      <c r="AJ48" s="214"/>
      <c r="AK48" s="504" t="s">
        <v>486</v>
      </c>
      <c r="AM48" s="129"/>
      <c r="AN48" s="129" t="str">
        <f t="shared" si="38"/>
        <v xml:space="preserve">Добавить значение признака дифференциации</v>
      </c>
      <c r="AO48" s="129"/>
      <c r="AP48" s="129"/>
      <c r="AQ48" s="50">
        <v>20</v>
      </c>
    </row>
    <row r="49" ht="22" customHeight="1">
      <c r="A49" s="493" t="s">
        <v>273</v>
      </c>
      <c r="B49" s="493" t="s">
        <v>274</v>
      </c>
      <c r="C49" s="493" t="s">
        <v>275</v>
      </c>
      <c r="D49" s="493" t="s">
        <v>523</v>
      </c>
      <c r="E49" s="505"/>
      <c r="F49" s="505"/>
      <c r="G49" s="505"/>
      <c r="H49" s="505"/>
      <c r="I49" s="512"/>
      <c r="J49" s="493"/>
      <c r="K49" s="493"/>
      <c r="L49" s="495"/>
      <c r="P49" s="132"/>
      <c r="Q49" s="132"/>
      <c r="R49" s="513"/>
      <c r="S49" s="529"/>
      <c r="T49" s="537" t="s">
        <v>414</v>
      </c>
      <c r="U49" s="214"/>
      <c r="V49" s="214"/>
      <c r="W49" s="214"/>
      <c r="X49" s="214"/>
      <c r="Y49" s="214"/>
      <c r="Z49" s="214"/>
      <c r="AA49" s="214"/>
      <c r="AB49" s="534"/>
      <c r="AC49" s="214"/>
      <c r="AD49" s="214"/>
      <c r="AE49" s="214"/>
      <c r="AF49" s="214"/>
      <c r="AG49" s="214"/>
      <c r="AH49" s="214"/>
      <c r="AI49" s="534"/>
      <c r="AJ49" s="214"/>
      <c r="AK49" s="699"/>
      <c r="AM49" s="129"/>
      <c r="AN49" s="129" t="str">
        <f t="shared" si="38"/>
        <v xml:space="preserve">Добавить группу потребителей</v>
      </c>
      <c r="AO49" s="129"/>
      <c r="AP49" s="129"/>
      <c r="AQ49" s="50">
        <v>21</v>
      </c>
    </row>
    <row r="50" ht="22" customHeight="1">
      <c r="A50" s="493" t="s">
        <v>273</v>
      </c>
      <c r="B50" s="493" t="s">
        <v>274</v>
      </c>
      <c r="C50" s="493" t="s">
        <v>275</v>
      </c>
      <c r="D50" s="493" t="s">
        <v>523</v>
      </c>
      <c r="E50" s="505"/>
      <c r="F50" s="505"/>
      <c r="G50" s="505"/>
      <c r="H50" s="494"/>
      <c r="I50" s="493"/>
      <c r="J50" s="493"/>
      <c r="K50" s="493"/>
      <c r="L50" s="495"/>
      <c r="M50" s="496"/>
      <c r="N50" s="496"/>
      <c r="O50" s="53"/>
      <c r="P50" s="143"/>
      <c r="Q50" s="536"/>
      <c r="R50" s="497"/>
      <c r="S50" s="529"/>
      <c r="T50" s="700" t="s">
        <v>487</v>
      </c>
      <c r="U50" s="214"/>
      <c r="V50" s="214"/>
      <c r="W50" s="214"/>
      <c r="X50" s="214"/>
      <c r="Y50" s="214"/>
      <c r="Z50" s="214"/>
      <c r="AA50" s="214"/>
      <c r="AB50" s="534"/>
      <c r="AC50" s="214"/>
      <c r="AD50" s="214"/>
      <c r="AE50" s="214"/>
      <c r="AF50" s="214"/>
      <c r="AG50" s="214"/>
      <c r="AH50" s="214"/>
      <c r="AI50" s="534"/>
      <c r="AJ50" s="214"/>
      <c r="AK50" s="535"/>
      <c r="AM50" s="129"/>
      <c r="AN50" s="129" t="str">
        <f t="shared" si="38"/>
        <v xml:space="preserve">Добавить наименование признака дифференциации</v>
      </c>
      <c r="AO50" s="129"/>
      <c r="AP50" s="129"/>
      <c r="AQ50" s="50">
        <v>21</v>
      </c>
    </row>
    <row r="51" s="57" customFormat="1" ht="0" customHeight="1">
      <c r="A51" s="133" t="s">
        <v>273</v>
      </c>
      <c r="B51" s="133" t="s">
        <v>274</v>
      </c>
      <c r="C51" s="133"/>
      <c r="D51" s="133"/>
      <c r="E51" s="505"/>
      <c r="F51" s="494"/>
      <c r="G51" s="133"/>
      <c r="H51" s="133"/>
      <c r="I51" s="133"/>
      <c r="J51" s="133"/>
      <c r="K51" s="133"/>
      <c r="L51" s="212"/>
      <c r="M51" s="542"/>
      <c r="N51" s="542"/>
      <c r="P51" s="167"/>
      <c r="Q51" s="538"/>
      <c r="R51" s="167"/>
      <c r="S51" s="543"/>
      <c r="T51" s="546" t="s">
        <v>238</v>
      </c>
      <c r="U51" s="545"/>
      <c r="V51" s="545"/>
      <c r="W51" s="545"/>
      <c r="X51" s="545"/>
      <c r="Y51" s="545"/>
      <c r="Z51" s="545"/>
      <c r="AA51" s="545"/>
      <c r="AB51" s="545"/>
      <c r="AC51" s="545"/>
      <c r="AD51" s="545"/>
      <c r="AE51" s="545"/>
      <c r="AF51" s="545"/>
      <c r="AG51" s="545"/>
      <c r="AH51" s="545"/>
      <c r="AI51" s="545"/>
      <c r="AJ51" s="545"/>
      <c r="AK51" s="545"/>
      <c r="AM51" s="129"/>
      <c r="AN51" s="129" t="str">
        <f t="shared" si="38"/>
        <v xml:space="preserve">Добавить централизованную систему для дифференциации</v>
      </c>
      <c r="AO51" s="129"/>
      <c r="AP51" s="129"/>
      <c r="AQ51" s="57">
        <v>0</v>
      </c>
    </row>
    <row r="52" s="57" customFormat="1" ht="0" customHeight="1">
      <c r="A52" s="133" t="s">
        <v>273</v>
      </c>
      <c r="B52" s="133"/>
      <c r="C52" s="133"/>
      <c r="D52" s="133"/>
      <c r="E52" s="494"/>
      <c r="F52" s="133"/>
      <c r="G52" s="133"/>
      <c r="H52" s="133"/>
      <c r="I52" s="133"/>
      <c r="J52" s="133"/>
      <c r="K52" s="133"/>
      <c r="L52" s="212"/>
      <c r="M52" s="542"/>
      <c r="N52" s="542"/>
      <c r="O52" s="57"/>
      <c r="P52" s="167"/>
      <c r="Q52" s="538"/>
      <c r="R52" s="167"/>
      <c r="S52" s="543"/>
      <c r="T52" s="546" t="s">
        <v>239</v>
      </c>
      <c r="U52" s="545"/>
      <c r="V52" s="545"/>
      <c r="W52" s="545"/>
      <c r="X52" s="545"/>
      <c r="Y52" s="545"/>
      <c r="Z52" s="545"/>
      <c r="AA52" s="545"/>
      <c r="AB52" s="545"/>
      <c r="AC52" s="545"/>
      <c r="AD52" s="545"/>
      <c r="AE52" s="545"/>
      <c r="AF52" s="545"/>
      <c r="AG52" s="545"/>
      <c r="AH52" s="545"/>
      <c r="AI52" s="545"/>
      <c r="AJ52" s="545"/>
      <c r="AK52" s="545"/>
      <c r="AM52" s="129"/>
      <c r="AN52" s="129" t="str">
        <f t="shared" si="38"/>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240</v>
      </c>
      <c r="U53" s="545"/>
      <c r="V53" s="545"/>
      <c r="W53" s="545"/>
      <c r="X53" s="545"/>
      <c r="Y53" s="545"/>
      <c r="Z53" s="545"/>
      <c r="AA53" s="545"/>
      <c r="AB53" s="545"/>
      <c r="AC53" s="545"/>
      <c r="AD53" s="545"/>
      <c r="AE53" s="545"/>
      <c r="AF53" s="545"/>
      <c r="AG53" s="545"/>
      <c r="AH53" s="545"/>
      <c r="AI53" s="545"/>
      <c r="AJ53" s="545"/>
      <c r="AK53" s="545"/>
      <c r="AM53" s="129"/>
      <c r="AN53" s="129" t="str">
        <f t="shared" si="38"/>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Q55" s="50">
        <v>14</v>
      </c>
    </row>
    <row r="56" ht="14.65" customHeight="1">
      <c r="O56" s="53"/>
      <c r="AQ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1004A-0056-4A18-A1E9-0032001800F2}"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9A0014-00A9-4E16-97BB-00FD00CD003C}"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F80083-0050-443C-A6F6-006A006B00BF}"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F60058-0045-4C04-B3C9-0084008F00E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2" width="3.7109375"/>
    <col customWidth="1" min="18" max="18" style="492"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3"/>
      <c r="B2" s="493"/>
      <c r="C2" s="493"/>
      <c r="D2" s="493"/>
      <c r="E2" s="494">
        <v>1</v>
      </c>
      <c r="F2" s="493"/>
      <c r="G2" s="493"/>
      <c r="H2" s="493"/>
      <c r="I2" s="493"/>
      <c r="J2" s="493"/>
      <c r="K2" s="493"/>
      <c r="L2" s="495"/>
      <c r="M2" s="496"/>
      <c r="N2" s="496"/>
      <c r="O2" s="496"/>
      <c r="P2" s="61"/>
      <c r="Q2" s="64"/>
      <c r="R2" s="497"/>
      <c r="S2" s="498" t="e">
        <f>INDEX(PT_DIFFERENTIATION_NUM_NTAR,MATCH(A2,PT_DIFFERENTIATION_NTAR_ID,0))</f>
        <v>#VALUE!</v>
      </c>
      <c r="T2" s="499" t="s">
        <v>123</v>
      </c>
      <c r="U2" s="500"/>
      <c r="V2" s="502"/>
      <c r="W2" s="502"/>
      <c r="X2" s="502"/>
      <c r="Y2" s="502"/>
      <c r="Z2" s="502"/>
      <c r="AA2" s="502"/>
      <c r="AB2" s="502"/>
      <c r="AC2" s="503"/>
      <c r="AD2" s="501" t="e">
        <f>INDEX(PT_DIFFERENTIATION_NTAR,MATCH(A2,PT_DIFFERENTIATION_NTAR_ID,0))</f>
        <v>#VALUE!</v>
      </c>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3"/>
      <c r="BC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39">IF(T2="","",T2)</f>
        <v xml:space="preserve">Наименование тарифа</v>
      </c>
      <c r="BG2" s="129"/>
      <c r="BH2" s="129"/>
      <c r="BI2" s="50">
        <v>0</v>
      </c>
    </row>
    <row r="3" ht="21" hidden="1" customHeight="1">
      <c r="A3" s="493"/>
      <c r="B3" s="493"/>
      <c r="C3" s="493"/>
      <c r="D3" s="493"/>
      <c r="E3" s="505"/>
      <c r="F3" s="494">
        <v>1</v>
      </c>
      <c r="G3" s="493"/>
      <c r="H3" s="493"/>
      <c r="I3" s="493"/>
      <c r="J3" s="493"/>
      <c r="K3" s="493"/>
      <c r="L3" s="495"/>
      <c r="M3" s="496"/>
      <c r="N3" s="496"/>
      <c r="O3" s="496"/>
      <c r="P3" s="113"/>
      <c r="Q3" s="643"/>
      <c r="R3" s="507"/>
      <c r="S3" s="498" t="e">
        <f>INDEX(PT_DIFFERENTIATION_NUM_TER,MATCH(B3,PT_DIFFERENTIATION_TER_ID,0))</f>
        <v>#VALUE!</v>
      </c>
      <c r="T3" s="508" t="s">
        <v>399</v>
      </c>
      <c r="U3" s="500"/>
      <c r="V3" s="502"/>
      <c r="W3" s="502"/>
      <c r="X3" s="502"/>
      <c r="Y3" s="502"/>
      <c r="Z3" s="502"/>
      <c r="AA3" s="502"/>
      <c r="AB3" s="502"/>
      <c r="AC3" s="503"/>
      <c r="AD3" s="501" t="e">
        <f>INDEX(PT_DIFFERENTIATION_TER,MATCH(B3,PT_DIFFERENTIATION_TER_ID,0))</f>
        <v>#VALUE!</v>
      </c>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3"/>
      <c r="BC3" s="504" t="s">
        <v>400</v>
      </c>
      <c r="BE3" s="129"/>
      <c r="BF3" s="129" t="str">
        <f t="shared" si="39"/>
        <v xml:space="preserve">Территория действия тарифа</v>
      </c>
      <c r="BG3" s="129"/>
      <c r="BH3" s="129"/>
      <c r="BI3" s="50">
        <v>0</v>
      </c>
    </row>
    <row r="4" ht="33.75" hidden="1" customHeight="1">
      <c r="A4" s="493"/>
      <c r="B4" s="493"/>
      <c r="C4" s="493"/>
      <c r="D4" s="493"/>
      <c r="E4" s="505"/>
      <c r="F4" s="505"/>
      <c r="G4" s="494">
        <v>1</v>
      </c>
      <c r="H4" s="493"/>
      <c r="I4" s="493"/>
      <c r="J4" s="493"/>
      <c r="K4" s="493"/>
      <c r="L4" s="495"/>
      <c r="M4" s="496"/>
      <c r="N4" s="496"/>
      <c r="O4" s="496"/>
      <c r="P4" s="135"/>
      <c r="Q4" s="643"/>
      <c r="R4" s="507"/>
      <c r="S4" s="498" t="e">
        <f>INDEX(PT_DIFFERENTIATION_NUM_CS,MATCH(C4,PT_DIFFERENTIATION_CS_ID,0))</f>
        <v>#VALUE!</v>
      </c>
      <c r="T4" s="510" t="s">
        <v>518</v>
      </c>
      <c r="U4" s="500"/>
      <c r="V4" s="502"/>
      <c r="W4" s="502"/>
      <c r="X4" s="502"/>
      <c r="Y4" s="502"/>
      <c r="Z4" s="502"/>
      <c r="AA4" s="502"/>
      <c r="AB4" s="502"/>
      <c r="AC4" s="503"/>
      <c r="AD4" s="501" t="e">
        <f>INDEX(PT_DIFFERENTIATION_CS,MATCH(C4,PT_DIFFERENTIATION_CS_ID,0))</f>
        <v>#VALUE!</v>
      </c>
      <c r="AE4" s="502"/>
      <c r="AF4" s="502"/>
      <c r="AG4" s="502"/>
      <c r="AH4" s="502"/>
      <c r="AI4" s="502"/>
      <c r="AJ4" s="502"/>
      <c r="AK4" s="502"/>
      <c r="AL4" s="502"/>
      <c r="AM4" s="502"/>
      <c r="AN4" s="502"/>
      <c r="AO4" s="502"/>
      <c r="AP4" s="502"/>
      <c r="AQ4" s="502"/>
      <c r="AR4" s="502"/>
      <c r="AS4" s="502"/>
      <c r="AT4" s="502"/>
      <c r="AU4" s="502"/>
      <c r="AV4" s="502"/>
      <c r="AW4" s="502"/>
      <c r="AX4" s="502"/>
      <c r="AY4" s="502"/>
      <c r="AZ4" s="502"/>
      <c r="BA4" s="502"/>
      <c r="BB4" s="503"/>
      <c r="BC4" s="504" t="s">
        <v>519</v>
      </c>
      <c r="BE4" s="129"/>
      <c r="BF4" s="129" t="str">
        <f t="shared" si="39"/>
        <v xml:space="preserve">Наименование централизованной системы водоотведения</v>
      </c>
      <c r="BG4" s="129"/>
      <c r="BH4" s="129"/>
      <c r="BI4" s="50">
        <v>0</v>
      </c>
    </row>
    <row r="5" s="57" customFormat="1" ht="14.25" hidden="1" customHeight="1">
      <c r="A5" s="133"/>
      <c r="B5" s="133"/>
      <c r="C5" s="133"/>
      <c r="D5" s="133"/>
      <c r="E5" s="505"/>
      <c r="F5" s="505"/>
      <c r="G5" s="505"/>
      <c r="H5" s="494">
        <v>1</v>
      </c>
      <c r="I5" s="133"/>
      <c r="J5" s="133"/>
      <c r="K5" s="133"/>
      <c r="L5" s="212"/>
      <c r="M5" s="478"/>
      <c r="N5" s="478"/>
      <c r="O5" s="478"/>
      <c r="P5" s="751"/>
      <c r="Q5" s="752"/>
      <c r="R5" s="518"/>
      <c r="S5" s="366"/>
      <c r="T5" s="753"/>
      <c r="U5" s="601"/>
      <c r="V5" s="603"/>
      <c r="W5" s="603"/>
      <c r="X5" s="603"/>
      <c r="Y5" s="603"/>
      <c r="Z5" s="603"/>
      <c r="AA5" s="603"/>
      <c r="AB5" s="603"/>
      <c r="AC5" s="604"/>
      <c r="AD5" s="602"/>
      <c r="AE5" s="603"/>
      <c r="AF5" s="603"/>
      <c r="AG5" s="603"/>
      <c r="AH5" s="603"/>
      <c r="AI5" s="603"/>
      <c r="AJ5" s="603"/>
      <c r="AK5" s="603"/>
      <c r="AL5" s="603"/>
      <c r="AM5" s="603"/>
      <c r="AN5" s="603"/>
      <c r="AO5" s="603"/>
      <c r="AP5" s="603"/>
      <c r="AQ5" s="603"/>
      <c r="AR5" s="603"/>
      <c r="AS5" s="603"/>
      <c r="AT5" s="603"/>
      <c r="AU5" s="603"/>
      <c r="AV5" s="603"/>
      <c r="AW5" s="603"/>
      <c r="AX5" s="603"/>
      <c r="AY5" s="603"/>
      <c r="AZ5" s="603"/>
      <c r="BA5" s="603"/>
      <c r="BB5" s="604"/>
      <c r="BC5" s="605" t="s">
        <v>404</v>
      </c>
      <c r="BE5" s="129"/>
      <c r="BF5" s="129" t="str">
        <f t="shared" si="39"/>
        <v/>
      </c>
      <c r="BG5" s="129"/>
      <c r="BH5" s="129"/>
      <c r="BI5" s="57">
        <v>0</v>
      </c>
    </row>
    <row r="6" s="57" customFormat="1" ht="14.25" hidden="1" customHeight="1">
      <c r="A6" s="133"/>
      <c r="B6" s="133"/>
      <c r="C6" s="133"/>
      <c r="D6" s="133"/>
      <c r="E6" s="505"/>
      <c r="F6" s="505"/>
      <c r="G6" s="505"/>
      <c r="H6" s="505"/>
      <c r="I6" s="512" t="str">
        <f>S5&amp;".1"</f>
        <v>.1</v>
      </c>
      <c r="J6" s="133"/>
      <c r="K6" s="133"/>
      <c r="L6" s="212" t="s">
        <v>405</v>
      </c>
      <c r="M6" s="610"/>
      <c r="N6" s="610"/>
      <c r="O6" s="610"/>
      <c r="P6" s="132">
        <v>1</v>
      </c>
      <c r="Q6" s="132"/>
      <c r="R6" s="513"/>
      <c r="S6" s="366"/>
      <c r="T6" s="600"/>
      <c r="U6" s="601"/>
      <c r="V6" s="603"/>
      <c r="W6" s="603"/>
      <c r="X6" s="603"/>
      <c r="Y6" s="603"/>
      <c r="Z6" s="603"/>
      <c r="AA6" s="603"/>
      <c r="AB6" s="603"/>
      <c r="AC6" s="604"/>
      <c r="AD6" s="602"/>
      <c r="AE6" s="603"/>
      <c r="AF6" s="603"/>
      <c r="AG6" s="603"/>
      <c r="AH6" s="603"/>
      <c r="AI6" s="603"/>
      <c r="AJ6" s="603"/>
      <c r="AK6" s="603"/>
      <c r="AL6" s="603"/>
      <c r="AM6" s="603"/>
      <c r="AN6" s="603"/>
      <c r="AO6" s="603"/>
      <c r="AP6" s="603"/>
      <c r="AQ6" s="603"/>
      <c r="AR6" s="603"/>
      <c r="AS6" s="603"/>
      <c r="AT6" s="603"/>
      <c r="AU6" s="603"/>
      <c r="AV6" s="603"/>
      <c r="AW6" s="603"/>
      <c r="AX6" s="603"/>
      <c r="AY6" s="603"/>
      <c r="AZ6" s="603"/>
      <c r="BA6" s="603"/>
      <c r="BB6" s="604"/>
      <c r="BC6" s="605"/>
      <c r="BE6" s="129"/>
      <c r="BF6" s="129" t="str">
        <f t="shared" si="39"/>
        <v/>
      </c>
      <c r="BG6" s="129"/>
      <c r="BH6" s="129"/>
      <c r="BI6" s="57">
        <v>0</v>
      </c>
    </row>
    <row r="7" s="57" customFormat="1" ht="14.25" hidden="1" customHeight="1">
      <c r="A7" s="133"/>
      <c r="B7" s="133"/>
      <c r="C7" s="133"/>
      <c r="D7" s="133"/>
      <c r="E7" s="505"/>
      <c r="F7" s="505"/>
      <c r="G7" s="505"/>
      <c r="H7" s="505"/>
      <c r="I7" s="517"/>
      <c r="J7" s="512" t="str">
        <f>S5&amp;".1"</f>
        <v>.1</v>
      </c>
      <c r="K7" s="133"/>
      <c r="L7" s="212"/>
      <c r="M7" s="610"/>
      <c r="N7" s="610"/>
      <c r="O7" s="610"/>
      <c r="P7" s="132"/>
      <c r="Q7" s="132">
        <v>1</v>
      </c>
      <c r="R7" s="518"/>
      <c r="S7" s="366"/>
      <c r="T7" s="644"/>
      <c r="U7" s="601"/>
      <c r="V7" s="603"/>
      <c r="W7" s="603"/>
      <c r="X7" s="603"/>
      <c r="Y7" s="603"/>
      <c r="Z7" s="603"/>
      <c r="AA7" s="603"/>
      <c r="AB7" s="603"/>
      <c r="AC7" s="604"/>
      <c r="AD7" s="602"/>
      <c r="AE7" s="603"/>
      <c r="AF7" s="603"/>
      <c r="AG7" s="603"/>
      <c r="AH7" s="603"/>
      <c r="AI7" s="603"/>
      <c r="AJ7" s="603"/>
      <c r="AK7" s="603"/>
      <c r="AL7" s="603"/>
      <c r="AM7" s="603"/>
      <c r="AN7" s="603"/>
      <c r="AO7" s="603"/>
      <c r="AP7" s="603"/>
      <c r="AQ7" s="603"/>
      <c r="AR7" s="603"/>
      <c r="AS7" s="603"/>
      <c r="AT7" s="603"/>
      <c r="AU7" s="603"/>
      <c r="AV7" s="603"/>
      <c r="AW7" s="603"/>
      <c r="AX7" s="603"/>
      <c r="AY7" s="603"/>
      <c r="AZ7" s="603"/>
      <c r="BA7" s="603"/>
      <c r="BB7" s="604"/>
      <c r="BC7" s="605"/>
      <c r="BE7" s="129"/>
      <c r="BF7" s="129" t="str">
        <f t="shared" si="39"/>
        <v/>
      </c>
      <c r="BG7" s="129"/>
      <c r="BH7" s="129"/>
      <c r="BI7" s="57">
        <v>0</v>
      </c>
    </row>
    <row r="8" ht="11.25" hidden="1" customHeight="1">
      <c r="A8" s="493"/>
      <c r="B8" s="493"/>
      <c r="C8" s="493"/>
      <c r="D8" s="493"/>
      <c r="E8" s="505"/>
      <c r="F8" s="505"/>
      <c r="G8" s="505"/>
      <c r="H8" s="505"/>
      <c r="I8" s="517"/>
      <c r="J8" s="517"/>
      <c r="K8" s="512" t="e">
        <f>S4&amp;".1"</f>
        <v>#VALUE!</v>
      </c>
      <c r="L8" s="495"/>
      <c r="P8" s="132"/>
      <c r="Q8" s="132"/>
      <c r="R8" s="645">
        <v>1</v>
      </c>
      <c r="S8" s="612" t="e">
        <f>$K8</f>
        <v>#VALUE!</v>
      </c>
      <c r="T8" s="746"/>
      <c r="U8" s="500"/>
      <c r="V8" s="521"/>
      <c r="W8" s="523"/>
      <c r="X8" s="521"/>
      <c r="Y8" s="523"/>
      <c r="Z8" s="524"/>
      <c r="AA8" s="224" t="s">
        <v>66</v>
      </c>
      <c r="AB8" s="524"/>
      <c r="AC8" s="224" t="s">
        <v>66</v>
      </c>
      <c r="AD8" s="296" t="s">
        <v>66</v>
      </c>
      <c r="AE8" s="647"/>
      <c r="AF8" s="360">
        <v>1</v>
      </c>
      <c r="AG8" s="747"/>
      <c r="AH8" s="224" t="s">
        <v>66</v>
      </c>
      <c r="AI8" s="647"/>
      <c r="AJ8" s="360">
        <v>1</v>
      </c>
      <c r="AK8" s="87" t="s">
        <v>28</v>
      </c>
      <c r="AL8" s="224" t="s">
        <v>66</v>
      </c>
      <c r="AM8" s="321"/>
      <c r="AN8" s="360">
        <v>1</v>
      </c>
      <c r="AO8" s="754"/>
      <c r="AP8" s="755" t="s">
        <v>66</v>
      </c>
      <c r="AQ8" s="648"/>
      <c r="AR8" s="360">
        <v>1</v>
      </c>
      <c r="AS8" s="95" t="s">
        <v>28</v>
      </c>
      <c r="AT8" s="521"/>
      <c r="AU8" s="523"/>
      <c r="AV8" s="521"/>
      <c r="AW8" s="523"/>
      <c r="AX8" s="524"/>
      <c r="AY8" s="224" t="s">
        <v>66</v>
      </c>
      <c r="AZ8" s="524"/>
      <c r="BA8" s="224" t="s">
        <v>66</v>
      </c>
      <c r="BB8" s="585"/>
      <c r="BC8" s="525" t="s">
        <v>503</v>
      </c>
      <c r="BE8" s="129"/>
      <c r="BF8" s="129" t="str">
        <f t="shared" si="39"/>
        <v/>
      </c>
      <c r="BG8" s="129"/>
      <c r="BH8" s="129"/>
      <c r="BI8" s="50">
        <v>0</v>
      </c>
    </row>
    <row r="9" ht="11.25" hidden="1" customHeight="1">
      <c r="A9" s="493"/>
      <c r="B9" s="493"/>
      <c r="C9" s="493"/>
      <c r="D9" s="493"/>
      <c r="E9" s="505"/>
      <c r="F9" s="505"/>
      <c r="G9" s="505"/>
      <c r="H9" s="505"/>
      <c r="I9" s="517"/>
      <c r="J9" s="517"/>
      <c r="K9" s="512"/>
      <c r="L9" s="495"/>
      <c r="P9" s="132"/>
      <c r="Q9" s="132"/>
      <c r="R9" s="645"/>
      <c r="S9" s="649"/>
      <c r="T9" s="756"/>
      <c r="U9" s="500"/>
      <c r="V9" s="636"/>
      <c r="W9" s="653"/>
      <c r="X9" s="636"/>
      <c r="Y9" s="653"/>
      <c r="Z9" s="636"/>
      <c r="AA9" s="636"/>
      <c r="AB9" s="636"/>
      <c r="AC9" s="636"/>
      <c r="AD9" s="301"/>
      <c r="AE9" s="647"/>
      <c r="AF9" s="360"/>
      <c r="AG9" s="747"/>
      <c r="AH9" s="224"/>
      <c r="AI9" s="647"/>
      <c r="AJ9" s="360"/>
      <c r="AK9" s="87"/>
      <c r="AL9" s="224"/>
      <c r="AM9" s="327"/>
      <c r="AN9" s="360"/>
      <c r="AO9" s="754"/>
      <c r="AP9" s="757"/>
      <c r="AQ9" s="652"/>
      <c r="AR9" s="177"/>
      <c r="AS9" s="177" t="s">
        <v>504</v>
      </c>
      <c r="AT9" s="636"/>
      <c r="AU9" s="653"/>
      <c r="AV9" s="636"/>
      <c r="AW9" s="653"/>
      <c r="AX9" s="636"/>
      <c r="AY9" s="636"/>
      <c r="AZ9" s="636"/>
      <c r="BA9" s="636"/>
      <c r="BB9" s="651"/>
      <c r="BC9" s="528"/>
      <c r="BE9" s="129"/>
      <c r="BF9" s="129"/>
      <c r="BG9" s="129"/>
      <c r="BH9" s="129"/>
      <c r="BI9" s="50">
        <v>0</v>
      </c>
    </row>
    <row r="10" ht="11.25" hidden="1" customHeight="1">
      <c r="A10" s="493"/>
      <c r="B10" s="493"/>
      <c r="C10" s="493"/>
      <c r="D10" s="493"/>
      <c r="E10" s="505"/>
      <c r="F10" s="505"/>
      <c r="G10" s="505"/>
      <c r="H10" s="505"/>
      <c r="I10" s="517"/>
      <c r="J10" s="517"/>
      <c r="K10" s="512"/>
      <c r="L10" s="495"/>
      <c r="P10" s="132"/>
      <c r="Q10" s="132"/>
      <c r="R10" s="645"/>
      <c r="S10" s="649"/>
      <c r="T10" s="756"/>
      <c r="U10" s="500"/>
      <c r="V10" s="636"/>
      <c r="W10" s="653"/>
      <c r="X10" s="636"/>
      <c r="Y10" s="653"/>
      <c r="Z10" s="636"/>
      <c r="AA10" s="636"/>
      <c r="AB10" s="636"/>
      <c r="AC10" s="636"/>
      <c r="AD10" s="301"/>
      <c r="AE10" s="647"/>
      <c r="AF10" s="360"/>
      <c r="AG10" s="747"/>
      <c r="AH10" s="224"/>
      <c r="AI10" s="647"/>
      <c r="AJ10" s="360"/>
      <c r="AK10" s="87"/>
      <c r="AL10" s="224"/>
      <c r="AM10" s="652"/>
      <c r="AN10" s="758"/>
      <c r="AO10" s="758" t="s">
        <v>524</v>
      </c>
      <c r="AP10" s="177"/>
      <c r="AQ10" s="177"/>
      <c r="AR10" s="177"/>
      <c r="AS10" s="636"/>
      <c r="AT10" s="636"/>
      <c r="AU10" s="653"/>
      <c r="AV10" s="636"/>
      <c r="AW10" s="653"/>
      <c r="AX10" s="636"/>
      <c r="AY10" s="636"/>
      <c r="AZ10" s="636"/>
      <c r="BA10" s="636"/>
      <c r="BB10" s="651"/>
      <c r="BC10" s="528"/>
      <c r="BE10" s="129"/>
      <c r="BF10" s="129"/>
      <c r="BG10" s="129"/>
      <c r="BH10" s="129"/>
      <c r="BI10" s="50">
        <v>0</v>
      </c>
    </row>
    <row r="11" ht="11.25" hidden="1" customHeight="1">
      <c r="A11" s="493"/>
      <c r="B11" s="493"/>
      <c r="C11" s="493"/>
      <c r="D11" s="493"/>
      <c r="E11" s="505"/>
      <c r="F11" s="505"/>
      <c r="G11" s="505"/>
      <c r="H11" s="505"/>
      <c r="I11" s="517"/>
      <c r="J11" s="517"/>
      <c r="K11" s="512"/>
      <c r="L11" s="495"/>
      <c r="P11" s="132"/>
      <c r="Q11" s="132"/>
      <c r="R11" s="645"/>
      <c r="S11" s="649"/>
      <c r="T11" s="756"/>
      <c r="U11" s="500"/>
      <c r="V11" s="636"/>
      <c r="W11" s="653"/>
      <c r="X11" s="636"/>
      <c r="Y11" s="653"/>
      <c r="Z11" s="636"/>
      <c r="AA11" s="636"/>
      <c r="AB11" s="636"/>
      <c r="AC11" s="636"/>
      <c r="AD11" s="301"/>
      <c r="AE11" s="647"/>
      <c r="AF11" s="360"/>
      <c r="AG11" s="747"/>
      <c r="AH11" s="224"/>
      <c r="AI11" s="655"/>
      <c r="AJ11" s="172"/>
      <c r="AK11" s="455" t="s">
        <v>525</v>
      </c>
      <c r="AL11" s="636"/>
      <c r="AM11" s="636"/>
      <c r="AN11" s="636"/>
      <c r="AO11" s="636"/>
      <c r="AP11" s="636"/>
      <c r="AQ11" s="636"/>
      <c r="AR11" s="636"/>
      <c r="AS11" s="636"/>
      <c r="AT11" s="636"/>
      <c r="AU11" s="653"/>
      <c r="AV11" s="636"/>
      <c r="AW11" s="653"/>
      <c r="AX11" s="636"/>
      <c r="AY11" s="636"/>
      <c r="AZ11" s="636"/>
      <c r="BA11" s="636"/>
      <c r="BB11" s="651"/>
      <c r="BC11" s="528"/>
      <c r="BE11" s="129"/>
      <c r="BF11" s="129"/>
      <c r="BG11" s="129"/>
      <c r="BH11" s="129"/>
      <c r="BI11" s="50">
        <v>0</v>
      </c>
    </row>
    <row r="12" ht="11.25" hidden="1" customHeight="1">
      <c r="A12" s="493"/>
      <c r="B12" s="493"/>
      <c r="C12" s="493"/>
      <c r="D12" s="493"/>
      <c r="E12" s="505"/>
      <c r="F12" s="505"/>
      <c r="G12" s="505"/>
      <c r="H12" s="505"/>
      <c r="I12" s="517"/>
      <c r="J12" s="517"/>
      <c r="K12" s="512"/>
      <c r="L12" s="495"/>
      <c r="P12" s="132"/>
      <c r="Q12" s="132"/>
      <c r="R12" s="645"/>
      <c r="S12" s="622"/>
      <c r="T12" s="759"/>
      <c r="U12" s="500"/>
      <c r="V12" s="636"/>
      <c r="W12" s="637" t="str">
        <f>Z8&amp;"-"&amp;AB8</f>
        <v>-</v>
      </c>
      <c r="X12" s="636"/>
      <c r="Y12" s="637" t="str">
        <f>AB8&amp;"-"&amp;AD8</f>
        <v>-да</v>
      </c>
      <c r="Z12" s="636"/>
      <c r="AA12" s="636"/>
      <c r="AB12" s="636"/>
      <c r="AC12" s="636"/>
      <c r="AD12" s="220"/>
      <c r="AE12" s="658"/>
      <c r="AF12" s="659"/>
      <c r="AG12" s="177" t="s">
        <v>507</v>
      </c>
      <c r="AH12" s="636"/>
      <c r="AI12" s="636"/>
      <c r="AJ12" s="636"/>
      <c r="AK12" s="636"/>
      <c r="AL12" s="636"/>
      <c r="AM12" s="636"/>
      <c r="AN12" s="636"/>
      <c r="AO12" s="636"/>
      <c r="AP12" s="636"/>
      <c r="AQ12" s="636"/>
      <c r="AR12" s="636"/>
      <c r="AS12" s="636"/>
      <c r="AT12" s="636"/>
      <c r="AU12" s="637" t="str">
        <f>AX8&amp;"-"&amp;AZ8</f>
        <v>-</v>
      </c>
      <c r="AV12" s="636"/>
      <c r="AW12" s="637" t="str">
        <f>AZ8&amp;"-"&amp;BB8</f>
        <v>-</v>
      </c>
      <c r="AX12" s="636"/>
      <c r="AY12" s="636"/>
      <c r="AZ12" s="636"/>
      <c r="BA12" s="636"/>
      <c r="BB12" s="657" t="str">
        <f>BE8&amp;"-"&amp;BG8</f>
        <v>-</v>
      </c>
      <c r="BC12" s="528"/>
      <c r="BE12" s="129"/>
      <c r="BF12" s="129" t="str">
        <f t="shared" ref="BF12:BF63" si="40">IF(T12="","",T12)</f>
        <v/>
      </c>
      <c r="BG12" s="129"/>
      <c r="BH12" s="129"/>
      <c r="BI12" s="50">
        <v>0</v>
      </c>
    </row>
    <row r="13" ht="11.25" hidden="1" customHeight="1">
      <c r="A13" s="493"/>
      <c r="B13" s="493"/>
      <c r="C13" s="493"/>
      <c r="D13" s="493"/>
      <c r="E13" s="505"/>
      <c r="F13" s="505"/>
      <c r="G13" s="505"/>
      <c r="H13" s="505"/>
      <c r="I13" s="517"/>
      <c r="J13" s="512"/>
      <c r="K13" s="493"/>
      <c r="L13" s="495"/>
      <c r="P13" s="132"/>
      <c r="Q13" s="132"/>
      <c r="R13" s="513"/>
      <c r="S13" s="529"/>
      <c r="T13" s="533" t="s">
        <v>467</v>
      </c>
      <c r="U13" s="214"/>
      <c r="V13" s="214"/>
      <c r="W13" s="214"/>
      <c r="X13" s="214"/>
      <c r="Y13" s="214"/>
      <c r="Z13" s="214"/>
      <c r="AA13" s="214"/>
      <c r="AB13" s="214"/>
      <c r="AC13" s="214"/>
      <c r="AD13" s="687"/>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31"/>
      <c r="BC13" s="532"/>
      <c r="BE13" s="129"/>
      <c r="BF13" s="129" t="str">
        <f t="shared" si="40"/>
        <v xml:space="preserve">Добавить строку</v>
      </c>
      <c r="BG13" s="129"/>
      <c r="BH13" s="129"/>
      <c r="BI13" s="50">
        <v>0</v>
      </c>
    </row>
    <row r="14" s="57" customFormat="1" ht="14.25" hidden="1" customHeight="1">
      <c r="A14" s="133"/>
      <c r="B14" s="133"/>
      <c r="C14" s="133"/>
      <c r="D14" s="133"/>
      <c r="E14" s="505"/>
      <c r="F14" s="505"/>
      <c r="G14" s="505"/>
      <c r="H14" s="505"/>
      <c r="I14" s="512"/>
      <c r="J14" s="133"/>
      <c r="K14" s="133"/>
      <c r="L14" s="212"/>
      <c r="M14" s="610"/>
      <c r="N14" s="610"/>
      <c r="O14" s="610"/>
      <c r="P14" s="132"/>
      <c r="Q14" s="132"/>
      <c r="R14" s="513"/>
      <c r="S14" s="606"/>
      <c r="T14" s="607"/>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8"/>
      <c r="AV14" s="608"/>
      <c r="AW14" s="608"/>
      <c r="AX14" s="608"/>
      <c r="AY14" s="608"/>
      <c r="AZ14" s="608"/>
      <c r="BA14" s="608"/>
      <c r="BB14" s="608"/>
      <c r="BC14" s="609"/>
      <c r="BE14" s="129"/>
      <c r="BF14" s="129" t="str">
        <f t="shared" si="40"/>
        <v/>
      </c>
      <c r="BG14" s="129"/>
      <c r="BH14" s="129"/>
      <c r="BI14" s="57">
        <v>0</v>
      </c>
    </row>
    <row r="15" s="57" customFormat="1" ht="14.25" hidden="1" customHeight="1">
      <c r="A15" s="133"/>
      <c r="B15" s="133"/>
      <c r="C15" s="133"/>
      <c r="D15" s="133"/>
      <c r="E15" s="505"/>
      <c r="F15" s="505"/>
      <c r="G15" s="505"/>
      <c r="H15" s="494"/>
      <c r="I15" s="133"/>
      <c r="J15" s="133"/>
      <c r="K15" s="133"/>
      <c r="L15" s="212"/>
      <c r="M15" s="478"/>
      <c r="N15" s="478"/>
      <c r="O15" s="57"/>
      <c r="P15" s="167"/>
      <c r="Q15" s="538"/>
      <c r="R15" s="660"/>
      <c r="S15" s="606"/>
      <c r="T15" s="607"/>
      <c r="U15" s="608"/>
      <c r="V15" s="608"/>
      <c r="W15" s="608"/>
      <c r="X15" s="608"/>
      <c r="Y15" s="608"/>
      <c r="Z15" s="608"/>
      <c r="AA15" s="608"/>
      <c r="AB15" s="608"/>
      <c r="AC15" s="608"/>
      <c r="AD15" s="608"/>
      <c r="AE15" s="608"/>
      <c r="AF15" s="608"/>
      <c r="AG15" s="608"/>
      <c r="AH15" s="608"/>
      <c r="AI15" s="608"/>
      <c r="AJ15" s="608"/>
      <c r="AK15" s="608"/>
      <c r="AL15" s="608"/>
      <c r="AM15" s="608"/>
      <c r="AN15" s="608"/>
      <c r="AO15" s="608"/>
      <c r="AP15" s="608"/>
      <c r="AQ15" s="608"/>
      <c r="AR15" s="608"/>
      <c r="AS15" s="608"/>
      <c r="AT15" s="608"/>
      <c r="AU15" s="608"/>
      <c r="AV15" s="608"/>
      <c r="AW15" s="608"/>
      <c r="AX15" s="608"/>
      <c r="AY15" s="608"/>
      <c r="AZ15" s="608"/>
      <c r="BA15" s="608"/>
      <c r="BB15" s="608"/>
      <c r="BC15" s="609"/>
      <c r="BE15" s="129"/>
      <c r="BF15" s="129" t="str">
        <f t="shared" si="40"/>
        <v/>
      </c>
      <c r="BG15" s="129"/>
      <c r="BH15" s="129"/>
      <c r="BI15" s="57">
        <v>0</v>
      </c>
    </row>
    <row r="16" s="57" customFormat="1" ht="14.25" hidden="1" customHeight="1">
      <c r="A16" s="133"/>
      <c r="B16" s="133"/>
      <c r="C16" s="133"/>
      <c r="D16" s="133"/>
      <c r="E16" s="505"/>
      <c r="F16" s="505"/>
      <c r="G16" s="494"/>
      <c r="H16" s="133"/>
      <c r="I16" s="133"/>
      <c r="J16" s="133"/>
      <c r="K16" s="133"/>
      <c r="L16" s="212"/>
      <c r="M16" s="478"/>
      <c r="N16" s="478"/>
      <c r="P16" s="167"/>
      <c r="Q16" s="538"/>
      <c r="R16" s="167"/>
      <c r="S16" s="543"/>
      <c r="T16" s="546"/>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5"/>
      <c r="AY16" s="545"/>
      <c r="AZ16" s="545"/>
      <c r="BA16" s="545"/>
      <c r="BB16" s="545"/>
      <c r="BC16" s="545"/>
      <c r="BE16" s="129"/>
      <c r="BF16" s="129" t="str">
        <f t="shared" si="40"/>
        <v/>
      </c>
      <c r="BG16" s="129"/>
      <c r="BH16" s="129"/>
      <c r="BI16" s="57">
        <v>0</v>
      </c>
    </row>
    <row r="17" s="57" customFormat="1" ht="14.25" hidden="1" customHeight="1">
      <c r="A17" s="133"/>
      <c r="B17" s="133"/>
      <c r="C17" s="133"/>
      <c r="D17" s="133"/>
      <c r="E17" s="505"/>
      <c r="F17" s="494"/>
      <c r="G17" s="133"/>
      <c r="H17" s="133"/>
      <c r="I17" s="133"/>
      <c r="J17" s="133"/>
      <c r="K17" s="133"/>
      <c r="L17" s="212"/>
      <c r="M17" s="542"/>
      <c r="N17" s="542"/>
      <c r="P17" s="167"/>
      <c r="Q17" s="538"/>
      <c r="R17" s="167"/>
      <c r="S17" s="543"/>
      <c r="T17" s="546" t="s">
        <v>238</v>
      </c>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E17" s="129"/>
      <c r="BF17" s="129" t="str">
        <f t="shared" si="40"/>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94"/>
      <c r="F18" s="133"/>
      <c r="G18" s="133"/>
      <c r="H18" s="133"/>
      <c r="I18" s="133"/>
      <c r="J18" s="133"/>
      <c r="K18" s="133"/>
      <c r="L18" s="212"/>
      <c r="M18" s="542"/>
      <c r="N18" s="542"/>
      <c r="O18" s="57"/>
      <c r="P18" s="167"/>
      <c r="Q18" s="538"/>
      <c r="R18" s="167"/>
      <c r="S18" s="543"/>
      <c r="T18" s="546" t="s">
        <v>239</v>
      </c>
      <c r="U18" s="545"/>
      <c r="V18" s="545"/>
      <c r="W18" s="545"/>
      <c r="X18" s="545"/>
      <c r="Y18" s="545"/>
      <c r="Z18" s="545"/>
      <c r="AA18" s="545"/>
      <c r="AB18" s="545"/>
      <c r="AC18" s="545"/>
      <c r="AD18" s="545"/>
      <c r="AE18" s="545"/>
      <c r="AF18" s="545"/>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E18" s="129"/>
      <c r="BF18" s="129" t="str">
        <f t="shared" si="40"/>
        <v xml:space="preserve">Добавить территорию для дифференциации</v>
      </c>
      <c r="BG18" s="129"/>
      <c r="BH18" s="129"/>
      <c r="BI18" s="57">
        <v>0</v>
      </c>
    </row>
    <row r="19" ht="14.25" hidden="1" customHeight="1">
      <c r="AC19" s="50"/>
      <c r="BA19" s="50"/>
      <c r="BI19" s="50">
        <v>0</v>
      </c>
    </row>
    <row r="20" ht="14.25" hidden="1" customHeight="1">
      <c r="AD20" s="545" t="s">
        <v>19</v>
      </c>
      <c r="AE20" s="661"/>
      <c r="AF20" s="545">
        <v>1</v>
      </c>
      <c r="AG20" s="662"/>
      <c r="AH20" s="545" t="s">
        <v>19</v>
      </c>
      <c r="AI20" s="661"/>
      <c r="AJ20" s="545">
        <v>1</v>
      </c>
      <c r="AK20" s="662"/>
      <c r="AL20" s="545" t="s">
        <v>19</v>
      </c>
      <c r="AM20" s="663"/>
      <c r="AN20" s="545">
        <v>1</v>
      </c>
      <c r="AO20" s="134"/>
      <c r="AP20" s="545" t="s">
        <v>19</v>
      </c>
      <c r="AQ20" s="663"/>
      <c r="AR20" s="545">
        <v>1</v>
      </c>
      <c r="AS20" s="134"/>
      <c r="AT20" s="522"/>
      <c r="AU20" s="597"/>
      <c r="AV20" s="522"/>
      <c r="AW20" s="597"/>
      <c r="AX20" s="667"/>
      <c r="AY20" s="299" t="s">
        <v>66</v>
      </c>
      <c r="AZ20" s="667"/>
      <c r="BA20" s="299" t="s">
        <v>66</v>
      </c>
      <c r="BI20" s="50">
        <v>0</v>
      </c>
    </row>
    <row r="21" ht="14.25" hidden="1" customHeight="1">
      <c r="BD21" s="131"/>
      <c r="BE21" s="131"/>
      <c r="BF21" s="131"/>
      <c r="BG21" s="131"/>
      <c r="BH21" s="131"/>
      <c r="BI21" s="50">
        <v>0</v>
      </c>
    </row>
    <row r="22" ht="14.25" hidden="1" customHeight="1">
      <c r="O22" s="551" t="s">
        <v>417</v>
      </c>
      <c r="Z22" s="595"/>
      <c r="AB22" s="595"/>
      <c r="AC22" s="50"/>
      <c r="AX22" s="595"/>
      <c r="AZ22" s="595"/>
      <c r="BA22" s="50"/>
      <c r="BD22" s="131"/>
      <c r="BE22" s="131"/>
      <c r="BF22" s="131"/>
      <c r="BG22" s="131"/>
      <c r="BH22" s="131"/>
      <c r="BI22" s="50">
        <v>0</v>
      </c>
    </row>
    <row r="23" ht="14.25" hidden="1" customHeight="1">
      <c r="AC23" s="50"/>
      <c r="BA23" s="50"/>
      <c r="BD23" s="131"/>
      <c r="BE23" s="131"/>
      <c r="BF23" s="131"/>
      <c r="BG23" s="131"/>
      <c r="BH23" s="131"/>
      <c r="BI23" s="50">
        <v>0</v>
      </c>
    </row>
    <row r="24" s="668" customFormat="1" ht="14.25" hidden="1" customHeight="1">
      <c r="M24" s="669"/>
      <c r="N24" s="669"/>
      <c r="O24" s="668" t="s">
        <v>418</v>
      </c>
      <c r="P24" s="669"/>
      <c r="Q24" s="670"/>
      <c r="R24" s="670"/>
      <c r="AA24" s="668" t="s">
        <v>420</v>
      </c>
      <c r="AC24" s="668" t="s">
        <v>421</v>
      </c>
      <c r="AD24" s="668" t="s">
        <v>468</v>
      </c>
      <c r="AH24" s="668" t="s">
        <v>468</v>
      </c>
      <c r="AK24" s="668" t="s">
        <v>508</v>
      </c>
      <c r="AL24" s="668" t="s">
        <v>468</v>
      </c>
      <c r="AP24" s="668" t="s">
        <v>468</v>
      </c>
      <c r="AY24" s="668" t="s">
        <v>420</v>
      </c>
      <c r="BA24" s="668" t="s">
        <v>421</v>
      </c>
      <c r="BD24" s="671"/>
      <c r="BE24" s="671"/>
      <c r="BF24" s="671"/>
      <c r="BG24" s="671"/>
      <c r="BH24" s="671"/>
      <c r="BI24" s="668">
        <v>0</v>
      </c>
    </row>
    <row r="25" ht="14.25" hidden="1" customHeight="1">
      <c r="O25" s="495"/>
      <c r="BD25" s="131"/>
      <c r="BE25" s="131"/>
      <c r="BF25" s="131"/>
      <c r="BG25" s="131"/>
      <c r="BH25" s="131"/>
      <c r="BI25" s="50">
        <v>0</v>
      </c>
    </row>
    <row r="26" ht="14.25" hidden="1" customHeight="1">
      <c r="O26" s="495"/>
      <c r="BD26" s="131"/>
      <c r="BE26" s="131"/>
      <c r="BF26" s="131"/>
      <c r="BG26" s="131"/>
      <c r="BH26" s="131"/>
      <c r="BI26" s="50">
        <v>0</v>
      </c>
    </row>
    <row r="27" ht="14.65" customHeight="1">
      <c r="Q27" s="672"/>
      <c r="R27" s="553"/>
      <c r="S27" s="554"/>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2"/>
      <c r="R28" s="553"/>
      <c r="S28" s="466"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66"/>
      <c r="U28" s="466"/>
      <c r="V28" s="466"/>
      <c r="W28" s="466"/>
      <c r="X28" s="466"/>
      <c r="Y28" s="466"/>
      <c r="Z28" s="466"/>
      <c r="AA28" s="466"/>
      <c r="AB28" s="466"/>
      <c r="AC28" s="466"/>
      <c r="AD28" s="466"/>
      <c r="AE28" s="466"/>
      <c r="AF28" s="466"/>
      <c r="AG28" s="466"/>
      <c r="AH28" s="466"/>
      <c r="AI28" s="466"/>
      <c r="AJ28" s="466"/>
      <c r="AK28" s="466"/>
      <c r="AL28" s="466"/>
      <c r="AM28" s="466"/>
      <c r="AN28" s="466"/>
      <c r="AO28" s="466"/>
      <c r="AP28" s="466"/>
      <c r="AQ28" s="466"/>
      <c r="AR28" s="466"/>
      <c r="AS28" s="466"/>
      <c r="AT28" s="466"/>
      <c r="AU28" s="466"/>
      <c r="AV28" s="466"/>
      <c r="AW28" s="466"/>
      <c r="AX28" s="466"/>
      <c r="AY28" s="466"/>
      <c r="AZ28" s="466"/>
      <c r="BA28" s="240"/>
      <c r="BI28" s="50">
        <v>14</v>
      </c>
    </row>
    <row r="29" ht="14.65" customHeight="1">
      <c r="Q29" s="672"/>
      <c r="R29" s="553"/>
      <c r="S29" s="320" t="str">
        <f>IF(org=0,"Не определено",org)</f>
        <v xml:space="preserve">филиал Пермская ГРЭС АО "Интер РАО - Электрогенерация"</v>
      </c>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0"/>
      <c r="AQ29" s="320"/>
      <c r="AR29" s="320"/>
      <c r="AS29" s="320"/>
      <c r="AT29" s="320"/>
      <c r="AU29" s="320"/>
      <c r="AV29" s="320"/>
      <c r="AW29" s="320"/>
      <c r="AX29" s="320"/>
      <c r="AY29" s="320"/>
      <c r="AZ29" s="320"/>
      <c r="BA29" s="240"/>
      <c r="BI29" s="50">
        <v>14</v>
      </c>
    </row>
    <row r="30" ht="14.25" hidden="1" customHeight="1">
      <c r="Q30" s="672"/>
      <c r="R30" s="553"/>
      <c r="S30" s="554"/>
      <c r="T30" s="91"/>
      <c r="U30" s="91"/>
      <c r="V30" s="555"/>
      <c r="W30" s="555"/>
      <c r="X30" s="555"/>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5"/>
      <c r="AY30" s="555"/>
      <c r="AZ30" s="555"/>
      <c r="BA30" s="555"/>
      <c r="BB30" s="50"/>
      <c r="BI30" s="50">
        <v>0</v>
      </c>
    </row>
    <row r="31" s="184" customFormat="1" ht="25.5" hidden="1" customHeight="1">
      <c r="A31" s="151"/>
      <c r="B31" s="151"/>
      <c r="C31" s="151"/>
      <c r="D31" s="151"/>
      <c r="E31" s="151"/>
      <c r="F31" s="151"/>
      <c r="G31" s="151"/>
      <c r="H31" s="151"/>
      <c r="I31" s="151"/>
      <c r="J31" s="151"/>
      <c r="K31" s="151"/>
      <c r="L31" s="495"/>
      <c r="M31" s="151"/>
      <c r="N31" s="151"/>
      <c r="O31" s="151"/>
      <c r="P31" s="151"/>
      <c r="Q31" s="151"/>
      <c r="S31" s="556" t="s">
        <v>42</v>
      </c>
      <c r="T31" s="556"/>
      <c r="U31" s="557"/>
      <c r="V31" s="558" t="str">
        <f>IF(TITLE_NAME_OR_PR_CHANGE="",IF(TITLE_NAME_OR_PR="","",TITLE_NAME_OR_PR),TITLE_NAME_OR_PR_CHANGE)</f>
        <v/>
      </c>
      <c r="W31" s="558"/>
      <c r="X31" s="558"/>
      <c r="Y31" s="558"/>
      <c r="Z31" s="558"/>
      <c r="AA31" s="558"/>
      <c r="AB31" s="558"/>
      <c r="AC31" s="50"/>
      <c r="AD31" s="558" t="str">
        <f>IF(TITLE_NAME_OR_PR_CHANGE="",IF(TITLE_NAME_OR_PR="","",TITLE_NAME_OR_PR),TITLE_NAME_OR_PR_CHANGE)</f>
        <v/>
      </c>
      <c r="AE31" s="558"/>
      <c r="AF31" s="558"/>
      <c r="AG31" s="558"/>
      <c r="AH31" s="558"/>
      <c r="AI31" s="558"/>
      <c r="AJ31" s="558"/>
      <c r="AK31" s="558"/>
      <c r="AL31" s="558"/>
      <c r="AM31" s="558"/>
      <c r="AN31" s="558"/>
      <c r="AO31" s="558"/>
      <c r="AP31" s="558"/>
      <c r="AQ31" s="558"/>
      <c r="AR31" s="558"/>
      <c r="AS31" s="558"/>
      <c r="AT31" s="558"/>
      <c r="AU31" s="558"/>
      <c r="AV31" s="558"/>
      <c r="AW31" s="558"/>
      <c r="AX31" s="558"/>
      <c r="AY31" s="558"/>
      <c r="AZ31" s="558"/>
      <c r="BA31" s="50"/>
      <c r="BB31" s="50"/>
      <c r="BC31" s="559"/>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95"/>
      <c r="M32" s="151"/>
      <c r="N32" s="151"/>
      <c r="O32" s="151"/>
      <c r="P32" s="151"/>
      <c r="Q32" s="151"/>
      <c r="S32" s="556" t="s">
        <v>423</v>
      </c>
      <c r="T32" s="556"/>
      <c r="U32" s="557"/>
      <c r="V32" s="560" t="str">
        <f>IF(TITLE_DATE_PR_CHANGE="",IF(TITLE_DATE_PR="","",TITLE_DATE_PR),TITLE_DATE_PR_CHANGE)</f>
        <v>45406</v>
      </c>
      <c r="W32" s="560"/>
      <c r="X32" s="560"/>
      <c r="Y32" s="560"/>
      <c r="Z32" s="560"/>
      <c r="AA32" s="560"/>
      <c r="AB32" s="560"/>
      <c r="AC32" s="50"/>
      <c r="AD32" s="560" t="str">
        <f>IF(TITLE_DATE_PR_CHANGE="",IF(TITLE_DATE_PR="","",TITLE_DATE_PR),TITLE_DATE_PR_CHANGE)</f>
        <v>45406</v>
      </c>
      <c r="AE32" s="560"/>
      <c r="AF32" s="560"/>
      <c r="AG32" s="560"/>
      <c r="AH32" s="560"/>
      <c r="AI32" s="560"/>
      <c r="AJ32" s="560"/>
      <c r="AK32" s="560"/>
      <c r="AL32" s="560"/>
      <c r="AM32" s="560"/>
      <c r="AN32" s="560"/>
      <c r="AO32" s="560"/>
      <c r="AP32" s="560"/>
      <c r="AQ32" s="560"/>
      <c r="AR32" s="560"/>
      <c r="AS32" s="560"/>
      <c r="AT32" s="560"/>
      <c r="AU32" s="560"/>
      <c r="AV32" s="560"/>
      <c r="AW32" s="560"/>
      <c r="AX32" s="560"/>
      <c r="AY32" s="560"/>
      <c r="AZ32" s="560"/>
      <c r="BA32" s="50"/>
      <c r="BB32" s="50"/>
      <c r="BC32" s="559"/>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95"/>
      <c r="M33" s="151"/>
      <c r="N33" s="151"/>
      <c r="O33" s="151"/>
      <c r="P33" s="151"/>
      <c r="Q33" s="151"/>
      <c r="S33" s="556" t="s">
        <v>424</v>
      </c>
      <c r="T33" s="556"/>
      <c r="U33" s="557"/>
      <c r="V33" s="558" t="str">
        <f>IF(TITLE_NUMBER_PR_CHANGE="",IF(TITLE_NUMBER_PR="","",TITLE_NUMBER_PR),TITLE_NUMBER_PR_CHANGE)</f>
        <v>ПГ/01/950</v>
      </c>
      <c r="W33" s="558"/>
      <c r="X33" s="558"/>
      <c r="Y33" s="558"/>
      <c r="Z33" s="558"/>
      <c r="AA33" s="558"/>
      <c r="AB33" s="558"/>
      <c r="AC33" s="50"/>
      <c r="AD33" s="558" t="str">
        <f>IF(TITLE_NUMBER_PR_CHANGE="",IF(TITLE_NUMBER_PR="","",TITLE_NUMBER_PR),TITLE_NUMBER_PR_CHANGE)</f>
        <v>ПГ/01/950</v>
      </c>
      <c r="AE33" s="558"/>
      <c r="AF33" s="558"/>
      <c r="AG33" s="558"/>
      <c r="AH33" s="558"/>
      <c r="AI33" s="558"/>
      <c r="AJ33" s="558"/>
      <c r="AK33" s="558"/>
      <c r="AL33" s="558"/>
      <c r="AM33" s="558"/>
      <c r="AN33" s="558"/>
      <c r="AO33" s="558"/>
      <c r="AP33" s="558"/>
      <c r="AQ33" s="558"/>
      <c r="AR33" s="558"/>
      <c r="AS33" s="558"/>
      <c r="AT33" s="558"/>
      <c r="AU33" s="558"/>
      <c r="AV33" s="558"/>
      <c r="AW33" s="558"/>
      <c r="AX33" s="558"/>
      <c r="AY33" s="558"/>
      <c r="AZ33" s="558"/>
      <c r="BA33" s="50"/>
      <c r="BB33" s="50"/>
      <c r="BC33" s="559"/>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95"/>
      <c r="M34" s="151"/>
      <c r="N34" s="151"/>
      <c r="O34" s="151"/>
      <c r="P34" s="151"/>
      <c r="Q34" s="151"/>
      <c r="S34" s="556" t="s">
        <v>43</v>
      </c>
      <c r="T34" s="556"/>
      <c r="U34" s="557"/>
      <c r="V34" s="558" t="str">
        <f>IF(TITLE_IST_PUB_CHANGE="",IF(TITLE_IST_PUB="","",TITLE_IST_PUB),TITLE_IST_PUB_CHANGE)</f>
        <v/>
      </c>
      <c r="W34" s="558"/>
      <c r="X34" s="558"/>
      <c r="Y34" s="558"/>
      <c r="Z34" s="558"/>
      <c r="AA34" s="558"/>
      <c r="AB34" s="558"/>
      <c r="AC34" s="50"/>
      <c r="AD34" s="558" t="str">
        <f>IF(TITLE_IST_PUB_CHANGE="",IF(TITLE_IST_PUB="","",TITLE_IST_PUB),TITLE_IST_PUB_CHANGE)</f>
        <v/>
      </c>
      <c r="AE34" s="558"/>
      <c r="AF34" s="558"/>
      <c r="AG34" s="558"/>
      <c r="AH34" s="558"/>
      <c r="AI34" s="558"/>
      <c r="AJ34" s="558"/>
      <c r="AK34" s="558"/>
      <c r="AL34" s="558"/>
      <c r="AM34" s="558"/>
      <c r="AN34" s="558"/>
      <c r="AO34" s="558"/>
      <c r="AP34" s="558"/>
      <c r="AQ34" s="558"/>
      <c r="AR34" s="558"/>
      <c r="AS34" s="558"/>
      <c r="AT34" s="558"/>
      <c r="AU34" s="558"/>
      <c r="AV34" s="558"/>
      <c r="AW34" s="558"/>
      <c r="AX34" s="558"/>
      <c r="AY34" s="558"/>
      <c r="AZ34" s="558"/>
      <c r="BA34" s="50"/>
      <c r="BB34" s="50"/>
      <c r="BC34" s="559"/>
      <c r="BD34" s="129"/>
      <c r="BE34" s="129"/>
      <c r="BF34" s="129"/>
      <c r="BG34" s="129"/>
      <c r="BH34" s="129"/>
      <c r="BI34" s="184">
        <v>0</v>
      </c>
    </row>
    <row r="35" ht="14.25" customHeight="1">
      <c r="Q35" s="672"/>
      <c r="R35" s="553"/>
      <c r="S35" s="554"/>
      <c r="T35" s="91"/>
      <c r="U35" s="91"/>
      <c r="V35" s="555"/>
      <c r="W35" s="555"/>
      <c r="X35" s="555"/>
      <c r="Y35" s="555"/>
      <c r="Z35" s="555"/>
      <c r="AA35" s="555"/>
      <c r="AB35" s="555"/>
      <c r="AC35" s="555"/>
      <c r="AD35" s="555"/>
      <c r="AE35" s="555"/>
      <c r="AF35" s="555"/>
      <c r="AG35" s="555"/>
      <c r="AH35" s="555"/>
      <c r="AI35" s="555"/>
      <c r="AJ35" s="555"/>
      <c r="AK35" s="555"/>
      <c r="AL35" s="555"/>
      <c r="AM35" s="555"/>
      <c r="AN35" s="555"/>
      <c r="AO35" s="555"/>
      <c r="AP35" s="555"/>
      <c r="AQ35" s="555"/>
      <c r="AR35" s="555"/>
      <c r="AS35" s="555"/>
      <c r="AT35" s="555"/>
      <c r="AU35" s="555"/>
      <c r="AV35" s="555"/>
      <c r="AW35" s="555"/>
      <c r="AX35" s="555"/>
      <c r="AY35" s="555"/>
      <c r="AZ35" s="555"/>
      <c r="BA35" s="555"/>
      <c r="BB35" s="50"/>
      <c r="BI35" s="50">
        <v>0</v>
      </c>
    </row>
    <row r="36" s="184" customFormat="1" ht="18.75" customHeight="1">
      <c r="A36" s="151"/>
      <c r="B36" s="151"/>
      <c r="C36" s="151"/>
      <c r="D36" s="151"/>
      <c r="E36" s="151"/>
      <c r="F36" s="151"/>
      <c r="G36" s="151"/>
      <c r="H36" s="151"/>
      <c r="I36" s="151"/>
      <c r="J36" s="151"/>
      <c r="K36" s="151"/>
      <c r="L36" s="495"/>
      <c r="M36" s="151"/>
      <c r="N36" s="151"/>
      <c r="O36" s="151"/>
      <c r="P36" s="151"/>
      <c r="Q36" s="151"/>
      <c r="S36" s="556" t="s">
        <v>423</v>
      </c>
      <c r="T36" s="556"/>
      <c r="U36" s="557"/>
      <c r="V36" s="560" t="str">
        <f>IF(TITLE_DATE_PR_CHANGE="",IF(TITLE_DATE_PR="","",TITLE_DATE_PR),TITLE_DATE_PR_CHANGE)</f>
        <v>45406</v>
      </c>
      <c r="W36" s="560"/>
      <c r="X36" s="560"/>
      <c r="Y36" s="560"/>
      <c r="Z36" s="560"/>
      <c r="AA36" s="560"/>
      <c r="AB36" s="560"/>
      <c r="AC36" s="50"/>
      <c r="AD36" s="560" t="str">
        <f>IF(TITLE_DATE_PR_CHANGE="",IF(TITLE_DATE_PR="","",TITLE_DATE_PR),TITLE_DATE_PR_CHANGE)</f>
        <v>45406</v>
      </c>
      <c r="AE36" s="560"/>
      <c r="AF36" s="560"/>
      <c r="AG36" s="560"/>
      <c r="AH36" s="560"/>
      <c r="AI36" s="560"/>
      <c r="AJ36" s="560"/>
      <c r="AK36" s="560"/>
      <c r="AL36" s="560"/>
      <c r="AM36" s="560"/>
      <c r="AN36" s="560"/>
      <c r="AO36" s="560"/>
      <c r="AP36" s="560"/>
      <c r="AQ36" s="560"/>
      <c r="AR36" s="560"/>
      <c r="AS36" s="560"/>
      <c r="AT36" s="560"/>
      <c r="AU36" s="560"/>
      <c r="AV36" s="560"/>
      <c r="AW36" s="560"/>
      <c r="AX36" s="560"/>
      <c r="AY36" s="560"/>
      <c r="AZ36" s="560"/>
      <c r="BA36" s="50"/>
      <c r="BB36" s="50"/>
      <c r="BC36" s="559"/>
      <c r="BD36" s="129"/>
      <c r="BE36" s="129"/>
      <c r="BF36" s="129"/>
      <c r="BG36" s="129"/>
      <c r="BH36" s="129"/>
      <c r="BI36" s="184">
        <v>0</v>
      </c>
    </row>
    <row r="37" s="184" customFormat="1" ht="18.75" customHeight="1">
      <c r="A37" s="151"/>
      <c r="B37" s="151"/>
      <c r="C37" s="151"/>
      <c r="D37" s="151"/>
      <c r="E37" s="151"/>
      <c r="F37" s="151"/>
      <c r="G37" s="151"/>
      <c r="H37" s="151"/>
      <c r="I37" s="151"/>
      <c r="J37" s="151"/>
      <c r="K37" s="151"/>
      <c r="L37" s="495"/>
      <c r="M37" s="151"/>
      <c r="N37" s="151"/>
      <c r="O37" s="151"/>
      <c r="P37" s="151"/>
      <c r="Q37" s="151"/>
      <c r="S37" s="556" t="s">
        <v>424</v>
      </c>
      <c r="T37" s="556"/>
      <c r="U37" s="557"/>
      <c r="V37" s="558" t="str">
        <f>IF(TITLE_NUMBER_PR_CHANGE="",IF(TITLE_NUMBER_PR="","",TITLE_NUMBER_PR),TITLE_NUMBER_PR_CHANGE)</f>
        <v>ПГ/01/950</v>
      </c>
      <c r="W37" s="558"/>
      <c r="X37" s="558"/>
      <c r="Y37" s="558"/>
      <c r="Z37" s="558"/>
      <c r="AA37" s="558"/>
      <c r="AB37" s="558"/>
      <c r="AC37" s="50"/>
      <c r="AD37" s="558" t="str">
        <f>IF(TITLE_NUMBER_PR_CHANGE="",IF(TITLE_NUMBER_PR="","",TITLE_NUMBER_PR),TITLE_NUMBER_PR_CHANGE)</f>
        <v>ПГ/01/950</v>
      </c>
      <c r="AE37" s="558"/>
      <c r="AF37" s="558"/>
      <c r="AG37" s="558"/>
      <c r="AH37" s="558"/>
      <c r="AI37" s="558"/>
      <c r="AJ37" s="558"/>
      <c r="AK37" s="558"/>
      <c r="AL37" s="558"/>
      <c r="AM37" s="558"/>
      <c r="AN37" s="558"/>
      <c r="AO37" s="558"/>
      <c r="AP37" s="558"/>
      <c r="AQ37" s="558"/>
      <c r="AR37" s="558"/>
      <c r="AS37" s="558"/>
      <c r="AT37" s="558"/>
      <c r="AU37" s="558"/>
      <c r="AV37" s="558"/>
      <c r="AW37" s="558"/>
      <c r="AX37" s="558"/>
      <c r="AY37" s="558"/>
      <c r="AZ37" s="558"/>
      <c r="BA37" s="50"/>
      <c r="BB37" s="50"/>
      <c r="BC37" s="559"/>
      <c r="BD37" s="129"/>
      <c r="BE37" s="129"/>
      <c r="BF37" s="129"/>
      <c r="BG37" s="129"/>
      <c r="BH37" s="129"/>
      <c r="BI37" s="184">
        <v>0</v>
      </c>
    </row>
    <row r="38" s="184" customFormat="1" ht="0" customHeight="1">
      <c r="A38" s="151"/>
      <c r="B38" s="151"/>
      <c r="C38" s="151"/>
      <c r="D38" s="151"/>
      <c r="E38" s="151"/>
      <c r="F38" s="151"/>
      <c r="G38" s="151"/>
      <c r="H38" s="151"/>
      <c r="I38" s="151"/>
      <c r="J38" s="151"/>
      <c r="K38" s="151"/>
      <c r="L38" s="495"/>
      <c r="M38" s="151"/>
      <c r="N38" s="151"/>
      <c r="O38" s="151"/>
      <c r="P38" s="151"/>
      <c r="Q38" s="151"/>
      <c r="S38" s="50"/>
      <c r="T38" s="50"/>
      <c r="U38" s="140"/>
      <c r="V38" s="50"/>
      <c r="W38" s="50"/>
      <c r="X38" s="50"/>
      <c r="Y38" s="50"/>
      <c r="Z38" s="50"/>
      <c r="AA38" s="50"/>
      <c r="AB38" s="50"/>
      <c r="AC38" s="57" t="s">
        <v>427</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427</v>
      </c>
      <c r="BD38" s="129"/>
      <c r="BE38" s="129"/>
      <c r="BF38" s="129"/>
      <c r="BG38" s="129"/>
      <c r="BH38" s="129"/>
      <c r="BI38" s="184">
        <v>0</v>
      </c>
    </row>
    <row r="39" ht="14.65" customHeight="1">
      <c r="Q39" s="672"/>
      <c r="R39" s="553"/>
      <c r="S39" s="554"/>
      <c r="T39" s="91"/>
      <c r="U39" s="561"/>
      <c r="V39" s="562"/>
      <c r="W39" s="562"/>
      <c r="X39" s="562"/>
      <c r="Y39" s="562"/>
      <c r="Z39" s="562"/>
      <c r="AA39" s="562"/>
      <c r="AB39" s="562"/>
      <c r="AC39" s="562"/>
      <c r="AD39" s="562"/>
      <c r="AE39" s="562"/>
      <c r="AF39" s="562"/>
      <c r="AG39" s="562"/>
      <c r="AH39" s="562"/>
      <c r="AI39" s="562"/>
      <c r="AJ39" s="562"/>
      <c r="AK39" s="562"/>
      <c r="AL39" s="562"/>
      <c r="AM39" s="562"/>
      <c r="AN39" s="562"/>
      <c r="AO39" s="562"/>
      <c r="AP39" s="562"/>
      <c r="AQ39" s="562"/>
      <c r="AR39" s="562"/>
      <c r="AS39" s="562"/>
      <c r="AT39" s="562"/>
      <c r="AU39" s="562"/>
      <c r="AV39" s="562"/>
      <c r="AW39" s="562"/>
      <c r="AX39" s="562"/>
      <c r="AY39" s="562"/>
      <c r="AZ39" s="562"/>
      <c r="BA39" s="562"/>
      <c r="BI39" s="50">
        <v>14</v>
      </c>
    </row>
    <row r="40" ht="14.65" customHeight="1">
      <c r="Q40" s="672"/>
      <c r="R40" s="553"/>
      <c r="S40" s="157" t="s">
        <v>302</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303</v>
      </c>
      <c r="BI40" s="50">
        <v>14</v>
      </c>
    </row>
    <row r="41" ht="14.65" customHeight="1">
      <c r="Q41" s="672"/>
      <c r="R41" s="553"/>
      <c r="S41" s="498" t="s">
        <v>88</v>
      </c>
      <c r="T41" s="362" t="s">
        <v>509</v>
      </c>
      <c r="U41" s="563"/>
      <c r="V41" s="564" t="s">
        <v>429</v>
      </c>
      <c r="W41" s="565"/>
      <c r="X41" s="565"/>
      <c r="Y41" s="565"/>
      <c r="Z41" s="565"/>
      <c r="AA41" s="565"/>
      <c r="AB41" s="566"/>
      <c r="AC41" s="567" t="s">
        <v>430</v>
      </c>
      <c r="AD41" s="674" t="s">
        <v>526</v>
      </c>
      <c r="AE41" s="598"/>
      <c r="AF41" s="598"/>
      <c r="AG41" s="675"/>
      <c r="AH41" s="674" t="s">
        <v>527</v>
      </c>
      <c r="AI41" s="598"/>
      <c r="AJ41" s="598"/>
      <c r="AK41" s="675"/>
      <c r="AL41" s="674" t="s">
        <v>528</v>
      </c>
      <c r="AM41" s="598"/>
      <c r="AN41" s="598"/>
      <c r="AO41" s="675"/>
      <c r="AP41" s="674" t="s">
        <v>513</v>
      </c>
      <c r="AQ41" s="598"/>
      <c r="AR41" s="598"/>
      <c r="AS41" s="675"/>
      <c r="AT41" s="564" t="s">
        <v>429</v>
      </c>
      <c r="AU41" s="565"/>
      <c r="AV41" s="565"/>
      <c r="AW41" s="565"/>
      <c r="AX41" s="565"/>
      <c r="AY41" s="565"/>
      <c r="AZ41" s="566"/>
      <c r="BA41" s="567" t="s">
        <v>430</v>
      </c>
      <c r="BB41" s="568" t="s">
        <v>432</v>
      </c>
      <c r="BC41" s="157"/>
      <c r="BI41" s="50">
        <v>14</v>
      </c>
    </row>
    <row r="42" ht="35.649999999999999" customHeight="1">
      <c r="Q42" s="672"/>
      <c r="R42" s="553"/>
      <c r="S42" s="498"/>
      <c r="T42" s="362"/>
      <c r="U42" s="569"/>
      <c r="V42" s="321" t="s">
        <v>514</v>
      </c>
      <c r="W42" s="322"/>
      <c r="X42" s="321" t="s">
        <v>515</v>
      </c>
      <c r="Y42" s="322"/>
      <c r="Z42" s="321" t="s">
        <v>516</v>
      </c>
      <c r="AA42" s="640"/>
      <c r="AB42" s="322"/>
      <c r="AC42" s="571"/>
      <c r="AD42" s="677"/>
      <c r="AE42" s="678"/>
      <c r="AF42" s="678"/>
      <c r="AG42" s="679"/>
      <c r="AH42" s="677"/>
      <c r="AI42" s="678"/>
      <c r="AJ42" s="678"/>
      <c r="AK42" s="679"/>
      <c r="AL42" s="677"/>
      <c r="AM42" s="678"/>
      <c r="AN42" s="678"/>
      <c r="AO42" s="679"/>
      <c r="AP42" s="677"/>
      <c r="AQ42" s="678"/>
      <c r="AR42" s="678"/>
      <c r="AS42" s="679"/>
      <c r="AT42" s="321" t="s">
        <v>529</v>
      </c>
      <c r="AU42" s="322"/>
      <c r="AV42" s="321" t="s">
        <v>530</v>
      </c>
      <c r="AW42" s="322"/>
      <c r="AX42" s="321" t="s">
        <v>516</v>
      </c>
      <c r="AY42" s="640"/>
      <c r="AZ42" s="322"/>
      <c r="BA42" s="571"/>
      <c r="BB42" s="572"/>
      <c r="BC42" s="157"/>
      <c r="BI42" s="50">
        <v>34</v>
      </c>
    </row>
    <row r="43" ht="14.65" customHeight="1">
      <c r="Q43" s="672"/>
      <c r="R43" s="553"/>
      <c r="S43" s="498"/>
      <c r="T43" s="362"/>
      <c r="U43" s="569"/>
      <c r="V43" s="327"/>
      <c r="W43" s="328"/>
      <c r="X43" s="327"/>
      <c r="Y43" s="328"/>
      <c r="Z43" s="327"/>
      <c r="AA43" s="641"/>
      <c r="AB43" s="328"/>
      <c r="AC43" s="571"/>
      <c r="AD43" s="677"/>
      <c r="AE43" s="678"/>
      <c r="AF43" s="678"/>
      <c r="AG43" s="679"/>
      <c r="AH43" s="677"/>
      <c r="AI43" s="678"/>
      <c r="AJ43" s="678"/>
      <c r="AK43" s="679"/>
      <c r="AL43" s="677"/>
      <c r="AM43" s="678"/>
      <c r="AN43" s="678"/>
      <c r="AO43" s="679"/>
      <c r="AP43" s="677"/>
      <c r="AQ43" s="678"/>
      <c r="AR43" s="678"/>
      <c r="AS43" s="679"/>
      <c r="AT43" s="327"/>
      <c r="AU43" s="328"/>
      <c r="AV43" s="327"/>
      <c r="AW43" s="328"/>
      <c r="AX43" s="327"/>
      <c r="AY43" s="641"/>
      <c r="AZ43" s="328"/>
      <c r="BA43" s="571"/>
      <c r="BB43" s="572"/>
      <c r="BC43" s="157"/>
      <c r="BI43" s="50">
        <v>14</v>
      </c>
    </row>
    <row r="44" ht="14.65" customHeight="1">
      <c r="A44" s="151"/>
      <c r="B44" s="151" t="s">
        <v>135</v>
      </c>
      <c r="C44" s="151" t="s">
        <v>136</v>
      </c>
      <c r="D44" s="151" t="s">
        <v>137</v>
      </c>
      <c r="E44" s="495" t="s">
        <v>437</v>
      </c>
      <c r="F44" s="495" t="s">
        <v>438</v>
      </c>
      <c r="G44" s="495" t="s">
        <v>439</v>
      </c>
      <c r="H44" s="495" t="s">
        <v>440</v>
      </c>
      <c r="I44" s="495" t="s">
        <v>441</v>
      </c>
      <c r="J44" s="495" t="s">
        <v>442</v>
      </c>
      <c r="K44" s="495" t="s">
        <v>443</v>
      </c>
      <c r="L44" s="495" t="s">
        <v>418</v>
      </c>
      <c r="Q44" s="672"/>
      <c r="R44" s="553"/>
      <c r="S44" s="498"/>
      <c r="T44" s="362"/>
      <c r="U44" s="573"/>
      <c r="V44" s="362" t="s">
        <v>477</v>
      </c>
      <c r="W44" s="362" t="s">
        <v>478</v>
      </c>
      <c r="X44" s="362" t="s">
        <v>477</v>
      </c>
      <c r="Y44" s="362" t="s">
        <v>478</v>
      </c>
      <c r="Z44" s="246" t="s">
        <v>446</v>
      </c>
      <c r="AA44" s="429" t="s">
        <v>447</v>
      </c>
      <c r="AB44" s="431"/>
      <c r="AC44" s="575"/>
      <c r="AD44" s="683"/>
      <c r="AE44" s="684"/>
      <c r="AF44" s="684"/>
      <c r="AG44" s="685"/>
      <c r="AH44" s="683"/>
      <c r="AI44" s="684"/>
      <c r="AJ44" s="684"/>
      <c r="AK44" s="685"/>
      <c r="AL44" s="683"/>
      <c r="AM44" s="684"/>
      <c r="AN44" s="684"/>
      <c r="AO44" s="685"/>
      <c r="AP44" s="683"/>
      <c r="AQ44" s="684"/>
      <c r="AR44" s="684"/>
      <c r="AS44" s="685"/>
      <c r="AT44" s="362" t="s">
        <v>477</v>
      </c>
      <c r="AU44" s="362" t="s">
        <v>478</v>
      </c>
      <c r="AV44" s="362" t="s">
        <v>477</v>
      </c>
      <c r="AW44" s="362" t="s">
        <v>478</v>
      </c>
      <c r="AX44" s="246" t="s">
        <v>446</v>
      </c>
      <c r="AY44" s="429" t="s">
        <v>447</v>
      </c>
      <c r="AZ44" s="431"/>
      <c r="BA44" s="575"/>
      <c r="BB44" s="576"/>
      <c r="BC44" s="157"/>
      <c r="BI44" s="50">
        <v>14</v>
      </c>
    </row>
    <row r="45" s="131" customFormat="1" ht="11.25" hidden="1" customHeight="1">
      <c r="A45" s="151"/>
      <c r="B45" s="151"/>
      <c r="C45" s="151"/>
      <c r="D45" s="151"/>
      <c r="E45" s="151"/>
      <c r="F45" s="151"/>
      <c r="G45" s="151"/>
      <c r="H45" s="151"/>
      <c r="I45" s="151"/>
      <c r="J45" s="151"/>
      <c r="K45" s="151"/>
      <c r="L45" s="495"/>
      <c r="M45" s="61"/>
      <c r="N45" s="61"/>
      <c r="O45" s="61"/>
      <c r="P45" s="610"/>
      <c r="Q45" s="579"/>
      <c r="R45" s="579">
        <v>1</v>
      </c>
      <c r="S45" s="580" t="s">
        <v>109</v>
      </c>
      <c r="T45" s="581" t="s">
        <v>110</v>
      </c>
      <c r="U45" s="582" t="str">
        <f ca="1">OFFSET(U45,0,-1)</f>
        <v>2</v>
      </c>
      <c r="V45" s="583">
        <f ca="1">OFFSET(V45,0,-1)+1</f>
        <v>3</v>
      </c>
      <c r="W45" s="583">
        <f ca="1">OFFSET(W45,0,-1)+1</f>
        <v>4</v>
      </c>
      <c r="X45" s="583">
        <f ca="1">OFFSET(X45,0,-1)+1</f>
        <v>5</v>
      </c>
      <c r="Y45" s="583">
        <f ca="1">OFFSET(Y45,0,-1)+1</f>
        <v>6</v>
      </c>
      <c r="Z45" s="583">
        <f ca="1">OFFSET(Z45,0,-1)+1</f>
        <v>7</v>
      </c>
      <c r="AA45" s="583">
        <f ca="1">OFFSET(AA45,0,-1)+1</f>
        <v>8</v>
      </c>
      <c r="AB45" s="583"/>
      <c r="AC45" s="583">
        <f ca="1">OFFSET(AC45,0,-2)+1</f>
        <v>9</v>
      </c>
      <c r="AD45" s="583">
        <f ca="1">OFFSET(AD45,0,-1)+1</f>
        <v>10</v>
      </c>
      <c r="AE45" s="583"/>
      <c r="AF45" s="583"/>
      <c r="AG45" s="583"/>
      <c r="AH45" s="583"/>
      <c r="AI45" s="583"/>
      <c r="AJ45" s="583"/>
      <c r="AK45" s="583"/>
      <c r="AL45" s="583"/>
      <c r="AM45" s="583"/>
      <c r="AN45" s="583"/>
      <c r="AO45" s="583"/>
      <c r="AP45" s="583"/>
      <c r="AQ45" s="583"/>
      <c r="AR45" s="583"/>
      <c r="AS45" s="583"/>
      <c r="AT45" s="583"/>
      <c r="AU45" s="583"/>
      <c r="AV45" s="583"/>
      <c r="AW45" s="583">
        <f ca="1">OFFSET(AW45,0,-1)+1</f>
        <v>1</v>
      </c>
      <c r="AX45" s="583">
        <f ca="1">OFFSET(AX45,0,-1)+1</f>
        <v>2</v>
      </c>
      <c r="AY45" s="583">
        <f ca="1">OFFSET(AY45,0,-1)+1</f>
        <v>3</v>
      </c>
      <c r="AZ45" s="583"/>
      <c r="BA45" s="583">
        <f ca="1">OFFSET(BA45,0,-2)+1</f>
        <v>4</v>
      </c>
      <c r="BB45" s="582">
        <f ca="1">OFFSET(BB45,0,-1)</f>
        <v>4</v>
      </c>
      <c r="BC45" s="583">
        <f ca="1">OFFSET(BC45,0,-1)+1</f>
        <v>5</v>
      </c>
      <c r="BD45" s="57"/>
      <c r="BE45" s="57"/>
      <c r="BF45" s="57"/>
      <c r="BG45" s="57"/>
      <c r="BH45" s="57"/>
      <c r="BI45" s="131">
        <v>0</v>
      </c>
    </row>
    <row r="46" ht="22" customHeight="1">
      <c r="A46" s="493" t="s">
        <v>278</v>
      </c>
      <c r="B46" s="493"/>
      <c r="C46" s="493"/>
      <c r="D46" s="493"/>
      <c r="E46" s="494">
        <v>1</v>
      </c>
      <c r="F46" s="493"/>
      <c r="G46" s="493"/>
      <c r="H46" s="493"/>
      <c r="I46" s="493"/>
      <c r="J46" s="493"/>
      <c r="K46" s="493"/>
      <c r="L46" s="495"/>
      <c r="M46" s="496"/>
      <c r="N46" s="496"/>
      <c r="O46" s="496"/>
      <c r="P46" s="61"/>
      <c r="Q46" s="64"/>
      <c r="R46" s="497"/>
      <c r="S46" s="498">
        <f>INDEX(PT_DIFFERENTIATION_NUM_NTAR,MATCH(A46,PT_DIFFERENTIATION_NTAR_ID,0))</f>
        <v>0</v>
      </c>
      <c r="T46" s="499" t="s">
        <v>123</v>
      </c>
      <c r="U46" s="500"/>
      <c r="V46" s="502"/>
      <c r="W46" s="502"/>
      <c r="X46" s="502"/>
      <c r="Y46" s="502"/>
      <c r="Z46" s="502"/>
      <c r="AA46" s="502"/>
      <c r="AB46" s="502"/>
      <c r="AC46" s="503"/>
      <c r="AD46" s="501" t="str">
        <f>INDEX(PT_DIFFERENTIATION_NTAR,MATCH(A46,PT_DIFFERENTIATION_NTAR_ID,0))</f>
        <v/>
      </c>
      <c r="AE46" s="502"/>
      <c r="AF46" s="502"/>
      <c r="AG46" s="502"/>
      <c r="AH46" s="502"/>
      <c r="AI46" s="502"/>
      <c r="AJ46" s="502"/>
      <c r="AK46" s="502"/>
      <c r="AL46" s="502"/>
      <c r="AM46" s="502"/>
      <c r="AN46" s="502"/>
      <c r="AO46" s="502"/>
      <c r="AP46" s="502"/>
      <c r="AQ46" s="502"/>
      <c r="AR46" s="502"/>
      <c r="AS46" s="502"/>
      <c r="AT46" s="502"/>
      <c r="AU46" s="502"/>
      <c r="AV46" s="502"/>
      <c r="AW46" s="502"/>
      <c r="AX46" s="502"/>
      <c r="AY46" s="502"/>
      <c r="AZ46" s="502"/>
      <c r="BA46" s="502"/>
      <c r="BB46" s="503"/>
      <c r="BC46"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40"/>
        <v xml:space="preserve">Наименование тарифа</v>
      </c>
      <c r="BG46" s="129"/>
      <c r="BH46" s="129"/>
      <c r="BI46" s="50">
        <v>21</v>
      </c>
    </row>
    <row r="47" ht="22" customHeight="1">
      <c r="A47" s="493" t="s">
        <v>278</v>
      </c>
      <c r="B47" s="493" t="s">
        <v>279</v>
      </c>
      <c r="C47" s="493"/>
      <c r="D47" s="493"/>
      <c r="E47" s="505"/>
      <c r="F47" s="494">
        <v>1</v>
      </c>
      <c r="G47" s="493"/>
      <c r="H47" s="493"/>
      <c r="I47" s="493"/>
      <c r="J47" s="493"/>
      <c r="K47" s="493"/>
      <c r="L47" s="495"/>
      <c r="M47" s="496"/>
      <c r="N47" s="496"/>
      <c r="O47" s="496"/>
      <c r="P47" s="113"/>
      <c r="Q47" s="643"/>
      <c r="R47" s="507"/>
      <c r="S47" s="498" t="str">
        <f>INDEX(PT_DIFFERENTIATION_NUM_TER,MATCH(B47,PT_DIFFERENTIATION_TER_ID,0))</f>
        <v>.</v>
      </c>
      <c r="T47" s="508" t="s">
        <v>399</v>
      </c>
      <c r="U47" s="500"/>
      <c r="V47" s="502"/>
      <c r="W47" s="502"/>
      <c r="X47" s="502"/>
      <c r="Y47" s="502"/>
      <c r="Z47" s="502"/>
      <c r="AA47" s="502"/>
      <c r="AB47" s="502"/>
      <c r="AC47" s="503"/>
      <c r="AD47" s="501" t="str">
        <f>INDEX(PT_DIFFERENTIATION_TER,MATCH(B47,PT_DIFFERENTIATION_TER_ID,0))</f>
        <v/>
      </c>
      <c r="AE47" s="502"/>
      <c r="AF47" s="502"/>
      <c r="AG47" s="502"/>
      <c r="AH47" s="502"/>
      <c r="AI47" s="502"/>
      <c r="AJ47" s="502"/>
      <c r="AK47" s="502"/>
      <c r="AL47" s="502"/>
      <c r="AM47" s="502"/>
      <c r="AN47" s="502"/>
      <c r="AO47" s="502"/>
      <c r="AP47" s="502"/>
      <c r="AQ47" s="502"/>
      <c r="AR47" s="502"/>
      <c r="AS47" s="502"/>
      <c r="AT47" s="502"/>
      <c r="AU47" s="502"/>
      <c r="AV47" s="502"/>
      <c r="AW47" s="502"/>
      <c r="AX47" s="502"/>
      <c r="AY47" s="502"/>
      <c r="AZ47" s="502"/>
      <c r="BA47" s="502"/>
      <c r="BB47" s="503"/>
      <c r="BC47" s="504" t="s">
        <v>400</v>
      </c>
      <c r="BE47" s="129"/>
      <c r="BF47" s="129" t="str">
        <f t="shared" si="40"/>
        <v xml:space="preserve">Территория действия тарифа</v>
      </c>
      <c r="BG47" s="129"/>
      <c r="BH47" s="129"/>
      <c r="BI47" s="50">
        <v>21</v>
      </c>
    </row>
    <row r="48" ht="35.649999999999999" customHeight="1">
      <c r="A48" s="493" t="s">
        <v>278</v>
      </c>
      <c r="B48" s="493" t="s">
        <v>279</v>
      </c>
      <c r="C48" s="493" t="s">
        <v>280</v>
      </c>
      <c r="D48" s="493"/>
      <c r="E48" s="505"/>
      <c r="F48" s="505"/>
      <c r="G48" s="494">
        <v>1</v>
      </c>
      <c r="H48" s="493"/>
      <c r="I48" s="493"/>
      <c r="J48" s="493"/>
      <c r="K48" s="493"/>
      <c r="L48" s="495"/>
      <c r="M48" s="496"/>
      <c r="N48" s="496"/>
      <c r="O48" s="496"/>
      <c r="P48" s="135"/>
      <c r="Q48" s="643"/>
      <c r="R48" s="507"/>
      <c r="S48" s="498" t="str">
        <f>INDEX(PT_DIFFERENTIATION_NUM_CS,MATCH(C48,PT_DIFFERENTIATION_CS_ID,0))</f>
        <v>..</v>
      </c>
      <c r="T48" s="510" t="s">
        <v>518</v>
      </c>
      <c r="U48" s="500"/>
      <c r="V48" s="502"/>
      <c r="W48" s="502"/>
      <c r="X48" s="502"/>
      <c r="Y48" s="502"/>
      <c r="Z48" s="502"/>
      <c r="AA48" s="502"/>
      <c r="AB48" s="502"/>
      <c r="AC48" s="503"/>
      <c r="AD48" s="501" t="str">
        <f>INDEX(PT_DIFFERENTIATION_CS,MATCH(C48,PT_DIFFERENTIATION_CS_ID,0))</f>
        <v/>
      </c>
      <c r="AE48" s="502"/>
      <c r="AF48" s="502"/>
      <c r="AG48" s="502"/>
      <c r="AH48" s="502"/>
      <c r="AI48" s="502"/>
      <c r="AJ48" s="502"/>
      <c r="AK48" s="502"/>
      <c r="AL48" s="502"/>
      <c r="AM48" s="502"/>
      <c r="AN48" s="502"/>
      <c r="AO48" s="502"/>
      <c r="AP48" s="502"/>
      <c r="AQ48" s="502"/>
      <c r="AR48" s="502"/>
      <c r="AS48" s="502"/>
      <c r="AT48" s="502"/>
      <c r="AU48" s="502"/>
      <c r="AV48" s="502"/>
      <c r="AW48" s="502"/>
      <c r="AX48" s="502"/>
      <c r="AY48" s="502"/>
      <c r="AZ48" s="502"/>
      <c r="BA48" s="502"/>
      <c r="BB48" s="503"/>
      <c r="BC48" s="504" t="s">
        <v>519</v>
      </c>
      <c r="BE48" s="129"/>
      <c r="BF48" s="129" t="str">
        <f t="shared" si="40"/>
        <v xml:space="preserve">Наименование централизованной системы водоотведения</v>
      </c>
      <c r="BG48" s="129"/>
      <c r="BH48" s="129"/>
      <c r="BI48" s="50">
        <v>34</v>
      </c>
    </row>
    <row r="49" s="57" customFormat="1" ht="0" customHeight="1">
      <c r="A49" s="133" t="s">
        <v>278</v>
      </c>
      <c r="B49" s="133" t="s">
        <v>279</v>
      </c>
      <c r="C49" s="133" t="s">
        <v>280</v>
      </c>
      <c r="D49" s="133" t="s">
        <v>531</v>
      </c>
      <c r="E49" s="505"/>
      <c r="F49" s="505"/>
      <c r="G49" s="505"/>
      <c r="H49" s="494">
        <v>1</v>
      </c>
      <c r="I49" s="133"/>
      <c r="J49" s="133"/>
      <c r="K49" s="133"/>
      <c r="L49" s="212"/>
      <c r="M49" s="478"/>
      <c r="N49" s="478"/>
      <c r="O49" s="478"/>
      <c r="P49" s="751"/>
      <c r="Q49" s="752"/>
      <c r="R49" s="518"/>
      <c r="S49" s="366"/>
      <c r="T49" s="753"/>
      <c r="U49" s="601"/>
      <c r="V49" s="603"/>
      <c r="W49" s="603"/>
      <c r="X49" s="603"/>
      <c r="Y49" s="603"/>
      <c r="Z49" s="603"/>
      <c r="AA49" s="603"/>
      <c r="AB49" s="603"/>
      <c r="AC49" s="604"/>
      <c r="AD49" s="602"/>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4"/>
      <c r="BC49" s="605" t="s">
        <v>404</v>
      </c>
      <c r="BE49" s="129"/>
      <c r="BF49" s="129" t="str">
        <f t="shared" si="40"/>
        <v/>
      </c>
      <c r="BG49" s="129"/>
      <c r="BH49" s="129"/>
      <c r="BI49" s="57">
        <v>0</v>
      </c>
    </row>
    <row r="50" s="57" customFormat="1" ht="0" customHeight="1">
      <c r="A50" s="133" t="s">
        <v>278</v>
      </c>
      <c r="B50" s="133" t="s">
        <v>279</v>
      </c>
      <c r="C50" s="133" t="s">
        <v>280</v>
      </c>
      <c r="D50" s="133" t="s">
        <v>531</v>
      </c>
      <c r="E50" s="505"/>
      <c r="F50" s="505"/>
      <c r="G50" s="505"/>
      <c r="H50" s="505"/>
      <c r="I50" s="512" t="str">
        <f>S49&amp;".1"</f>
        <v>.1</v>
      </c>
      <c r="J50" s="133"/>
      <c r="K50" s="133"/>
      <c r="L50" s="212" t="s">
        <v>405</v>
      </c>
      <c r="M50" s="610"/>
      <c r="N50" s="610"/>
      <c r="O50" s="610"/>
      <c r="P50" s="132">
        <v>1</v>
      </c>
      <c r="Q50" s="132"/>
      <c r="R50" s="513"/>
      <c r="S50" s="366"/>
      <c r="T50" s="600"/>
      <c r="U50" s="601"/>
      <c r="V50" s="603"/>
      <c r="W50" s="603"/>
      <c r="X50" s="603"/>
      <c r="Y50" s="603"/>
      <c r="Z50" s="603"/>
      <c r="AA50" s="603"/>
      <c r="AB50" s="603"/>
      <c r="AC50" s="604"/>
      <c r="AD50" s="602"/>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4"/>
      <c r="BC50" s="605"/>
      <c r="BE50" s="129"/>
      <c r="BF50" s="129" t="str">
        <f t="shared" si="40"/>
        <v/>
      </c>
      <c r="BG50" s="129"/>
      <c r="BH50" s="129"/>
      <c r="BI50" s="57">
        <v>0</v>
      </c>
    </row>
    <row r="51" s="57" customFormat="1" ht="0" customHeight="1">
      <c r="A51" s="133" t="s">
        <v>278</v>
      </c>
      <c r="B51" s="133" t="s">
        <v>279</v>
      </c>
      <c r="C51" s="133" t="s">
        <v>280</v>
      </c>
      <c r="D51" s="133" t="s">
        <v>531</v>
      </c>
      <c r="E51" s="505"/>
      <c r="F51" s="505"/>
      <c r="G51" s="505"/>
      <c r="H51" s="505"/>
      <c r="I51" s="517"/>
      <c r="J51" s="512" t="str">
        <f>S49&amp;".1"</f>
        <v>.1</v>
      </c>
      <c r="K51" s="133"/>
      <c r="L51" s="212"/>
      <c r="M51" s="610"/>
      <c r="N51" s="610"/>
      <c r="O51" s="610"/>
      <c r="P51" s="132"/>
      <c r="Q51" s="132">
        <v>1</v>
      </c>
      <c r="R51" s="518"/>
      <c r="S51" s="366"/>
      <c r="T51" s="644"/>
      <c r="U51" s="601"/>
      <c r="V51" s="603"/>
      <c r="W51" s="603"/>
      <c r="X51" s="603"/>
      <c r="Y51" s="603"/>
      <c r="Z51" s="603"/>
      <c r="AA51" s="603"/>
      <c r="AB51" s="603"/>
      <c r="AC51" s="604"/>
      <c r="AD51" s="602"/>
      <c r="AE51" s="603"/>
      <c r="AF51" s="603"/>
      <c r="AG51" s="603"/>
      <c r="AH51" s="603"/>
      <c r="AI51" s="603"/>
      <c r="AJ51" s="603"/>
      <c r="AK51" s="603"/>
      <c r="AL51" s="603"/>
      <c r="AM51" s="603"/>
      <c r="AN51" s="760"/>
      <c r="AO51" s="760"/>
      <c r="AP51" s="603"/>
      <c r="AQ51" s="603"/>
      <c r="AR51" s="603"/>
      <c r="AS51" s="603"/>
      <c r="AT51" s="603"/>
      <c r="AU51" s="603"/>
      <c r="AV51" s="603"/>
      <c r="AW51" s="603"/>
      <c r="AX51" s="603"/>
      <c r="AY51" s="603"/>
      <c r="AZ51" s="603"/>
      <c r="BA51" s="603"/>
      <c r="BB51" s="604"/>
      <c r="BC51" s="605"/>
      <c r="BE51" s="129"/>
      <c r="BF51" s="129" t="str">
        <f t="shared" si="40"/>
        <v/>
      </c>
      <c r="BG51" s="129"/>
      <c r="BH51" s="129"/>
      <c r="BI51" s="57">
        <v>0</v>
      </c>
    </row>
    <row r="52" ht="11.5" customHeight="1">
      <c r="A52" s="493" t="s">
        <v>278</v>
      </c>
      <c r="B52" s="493" t="s">
        <v>279</v>
      </c>
      <c r="C52" s="493" t="s">
        <v>280</v>
      </c>
      <c r="D52" s="493" t="s">
        <v>531</v>
      </c>
      <c r="E52" s="505"/>
      <c r="F52" s="505"/>
      <c r="G52" s="505"/>
      <c r="H52" s="505"/>
      <c r="I52" s="517"/>
      <c r="J52" s="517"/>
      <c r="K52" s="512" t="str">
        <f>S48&amp;".1"</f>
        <v>...1</v>
      </c>
      <c r="L52" s="495"/>
      <c r="P52" s="132"/>
      <c r="Q52" s="132"/>
      <c r="R52" s="518">
        <v>1</v>
      </c>
      <c r="S52" s="612" t="str">
        <f>$K52</f>
        <v>...1</v>
      </c>
      <c r="T52" s="746"/>
      <c r="U52" s="500"/>
      <c r="V52" s="521"/>
      <c r="W52" s="523"/>
      <c r="X52" s="521"/>
      <c r="Y52" s="523"/>
      <c r="Z52" s="524"/>
      <c r="AA52" s="224" t="s">
        <v>66</v>
      </c>
      <c r="AB52" s="524"/>
      <c r="AC52" s="224" t="s">
        <v>66</v>
      </c>
      <c r="AD52" s="296" t="s">
        <v>66</v>
      </c>
      <c r="AE52" s="647"/>
      <c r="AF52" s="360">
        <v>1</v>
      </c>
      <c r="AG52" s="747"/>
      <c r="AH52" s="224" t="s">
        <v>66</v>
      </c>
      <c r="AI52" s="647"/>
      <c r="AJ52" s="360">
        <v>1</v>
      </c>
      <c r="AK52" s="87" t="s">
        <v>28</v>
      </c>
      <c r="AL52" s="224" t="s">
        <v>66</v>
      </c>
      <c r="AM52" s="321"/>
      <c r="AN52" s="360">
        <v>1</v>
      </c>
      <c r="AO52" s="754"/>
      <c r="AP52" s="755" t="s">
        <v>66</v>
      </c>
      <c r="AQ52" s="648"/>
      <c r="AR52" s="360">
        <v>1</v>
      </c>
      <c r="AS52" s="95" t="s">
        <v>28</v>
      </c>
      <c r="AT52" s="521"/>
      <c r="AU52" s="523"/>
      <c r="AV52" s="521"/>
      <c r="AW52" s="523"/>
      <c r="AX52" s="524"/>
      <c r="AY52" s="224" t="s">
        <v>66</v>
      </c>
      <c r="AZ52" s="524"/>
      <c r="BA52" s="224" t="s">
        <v>66</v>
      </c>
      <c r="BB52" s="585"/>
      <c r="BC52" s="525" t="s">
        <v>503</v>
      </c>
      <c r="BE52" s="129"/>
      <c r="BF52" s="129" t="str">
        <f t="shared" si="40"/>
        <v/>
      </c>
      <c r="BG52" s="129"/>
      <c r="BH52" s="129"/>
      <c r="BI52" s="50">
        <v>11</v>
      </c>
    </row>
    <row r="53" ht="11.5" customHeight="1">
      <c r="A53" s="493"/>
      <c r="B53" s="493"/>
      <c r="C53" s="493"/>
      <c r="D53" s="493"/>
      <c r="E53" s="505"/>
      <c r="F53" s="505"/>
      <c r="G53" s="505"/>
      <c r="H53" s="505"/>
      <c r="I53" s="517"/>
      <c r="J53" s="517"/>
      <c r="K53" s="512"/>
      <c r="L53" s="495"/>
      <c r="P53" s="132"/>
      <c r="Q53" s="132"/>
      <c r="R53" s="518"/>
      <c r="S53" s="649"/>
      <c r="T53" s="756"/>
      <c r="U53" s="500"/>
      <c r="V53" s="636"/>
      <c r="W53" s="653"/>
      <c r="X53" s="636"/>
      <c r="Y53" s="653"/>
      <c r="Z53" s="636"/>
      <c r="AA53" s="636"/>
      <c r="AB53" s="636"/>
      <c r="AC53" s="636"/>
      <c r="AD53" s="301"/>
      <c r="AE53" s="647"/>
      <c r="AF53" s="360"/>
      <c r="AG53" s="747"/>
      <c r="AH53" s="224"/>
      <c r="AI53" s="647"/>
      <c r="AJ53" s="360"/>
      <c r="AK53" s="87"/>
      <c r="AL53" s="224"/>
      <c r="AM53" s="327"/>
      <c r="AN53" s="360"/>
      <c r="AO53" s="754"/>
      <c r="AP53" s="757"/>
      <c r="AQ53" s="652"/>
      <c r="AR53" s="177"/>
      <c r="AS53" s="177" t="s">
        <v>504</v>
      </c>
      <c r="AT53" s="636"/>
      <c r="AU53" s="653"/>
      <c r="AV53" s="636"/>
      <c r="AW53" s="653"/>
      <c r="AX53" s="636"/>
      <c r="AY53" s="636"/>
      <c r="AZ53" s="636"/>
      <c r="BA53" s="636"/>
      <c r="BB53" s="651"/>
      <c r="BC53" s="528"/>
      <c r="BE53" s="129"/>
      <c r="BF53" s="129"/>
      <c r="BG53" s="129"/>
      <c r="BH53" s="129"/>
      <c r="BI53" s="50">
        <v>11</v>
      </c>
    </row>
    <row r="54" ht="11.5" customHeight="1">
      <c r="A54" s="493" t="s">
        <v>278</v>
      </c>
      <c r="B54" s="493"/>
      <c r="C54" s="493"/>
      <c r="D54" s="493"/>
      <c r="E54" s="505"/>
      <c r="F54" s="505"/>
      <c r="G54" s="505"/>
      <c r="H54" s="505"/>
      <c r="I54" s="517"/>
      <c r="J54" s="517"/>
      <c r="K54" s="512"/>
      <c r="L54" s="495"/>
      <c r="P54" s="132"/>
      <c r="Q54" s="132"/>
      <c r="R54" s="518"/>
      <c r="S54" s="649"/>
      <c r="T54" s="756"/>
      <c r="U54" s="500"/>
      <c r="V54" s="636"/>
      <c r="W54" s="653"/>
      <c r="X54" s="636"/>
      <c r="Y54" s="653"/>
      <c r="Z54" s="636"/>
      <c r="AA54" s="636"/>
      <c r="AB54" s="636"/>
      <c r="AC54" s="636"/>
      <c r="AD54" s="301"/>
      <c r="AE54" s="647"/>
      <c r="AF54" s="360"/>
      <c r="AG54" s="747"/>
      <c r="AH54" s="224"/>
      <c r="AI54" s="647"/>
      <c r="AJ54" s="360"/>
      <c r="AK54" s="87"/>
      <c r="AL54" s="224"/>
      <c r="AM54" s="652"/>
      <c r="AN54" s="758"/>
      <c r="AO54" s="758" t="s">
        <v>524</v>
      </c>
      <c r="AP54" s="177"/>
      <c r="AQ54" s="177"/>
      <c r="AR54" s="177"/>
      <c r="AS54" s="636"/>
      <c r="AT54" s="636"/>
      <c r="AU54" s="653"/>
      <c r="AV54" s="636"/>
      <c r="AW54" s="653"/>
      <c r="AX54" s="636"/>
      <c r="AY54" s="636"/>
      <c r="AZ54" s="636"/>
      <c r="BA54" s="636"/>
      <c r="BB54" s="651"/>
      <c r="BC54" s="528"/>
      <c r="BE54" s="129"/>
      <c r="BF54" s="129"/>
      <c r="BG54" s="129"/>
      <c r="BH54" s="129"/>
      <c r="BI54" s="50">
        <v>11</v>
      </c>
    </row>
    <row r="55" ht="11.5" customHeight="1">
      <c r="A55" s="493" t="s">
        <v>278</v>
      </c>
      <c r="B55" s="493"/>
      <c r="C55" s="493"/>
      <c r="D55" s="493"/>
      <c r="E55" s="505"/>
      <c r="F55" s="505"/>
      <c r="G55" s="505"/>
      <c r="H55" s="505"/>
      <c r="I55" s="517"/>
      <c r="J55" s="517"/>
      <c r="K55" s="512"/>
      <c r="L55" s="495"/>
      <c r="P55" s="132"/>
      <c r="Q55" s="132"/>
      <c r="R55" s="518"/>
      <c r="S55" s="649"/>
      <c r="T55" s="756"/>
      <c r="U55" s="500"/>
      <c r="V55" s="636"/>
      <c r="W55" s="653"/>
      <c r="X55" s="636"/>
      <c r="Y55" s="653"/>
      <c r="Z55" s="636"/>
      <c r="AA55" s="636"/>
      <c r="AB55" s="636"/>
      <c r="AC55" s="636"/>
      <c r="AD55" s="301"/>
      <c r="AE55" s="647"/>
      <c r="AF55" s="360"/>
      <c r="AG55" s="747"/>
      <c r="AH55" s="224"/>
      <c r="AI55" s="655"/>
      <c r="AJ55" s="172"/>
      <c r="AK55" s="455" t="s">
        <v>525</v>
      </c>
      <c r="AL55" s="636"/>
      <c r="AM55" s="636"/>
      <c r="AN55" s="636"/>
      <c r="AO55" s="636"/>
      <c r="AP55" s="636"/>
      <c r="AQ55" s="636"/>
      <c r="AR55" s="636"/>
      <c r="AS55" s="636"/>
      <c r="AT55" s="636"/>
      <c r="AU55" s="653"/>
      <c r="AV55" s="636"/>
      <c r="AW55" s="653"/>
      <c r="AX55" s="636"/>
      <c r="AY55" s="636"/>
      <c r="AZ55" s="636"/>
      <c r="BA55" s="636"/>
      <c r="BB55" s="651"/>
      <c r="BC55" s="528"/>
      <c r="BE55" s="129"/>
      <c r="BF55" s="129"/>
      <c r="BG55" s="129"/>
      <c r="BH55" s="129"/>
      <c r="BI55" s="50">
        <v>11</v>
      </c>
    </row>
    <row r="56" ht="11.5" customHeight="1">
      <c r="A56" s="493" t="s">
        <v>278</v>
      </c>
      <c r="B56" s="493" t="s">
        <v>279</v>
      </c>
      <c r="C56" s="493" t="s">
        <v>280</v>
      </c>
      <c r="D56" s="493" t="s">
        <v>531</v>
      </c>
      <c r="E56" s="505"/>
      <c r="F56" s="505"/>
      <c r="G56" s="505"/>
      <c r="H56" s="505"/>
      <c r="I56" s="517"/>
      <c r="J56" s="517"/>
      <c r="K56" s="512"/>
      <c r="L56" s="495"/>
      <c r="P56" s="132"/>
      <c r="Q56" s="132"/>
      <c r="R56" s="518"/>
      <c r="S56" s="622"/>
      <c r="T56" s="759"/>
      <c r="U56" s="500"/>
      <c r="V56" s="636"/>
      <c r="W56" s="637" t="str">
        <f>Z52&amp;"-"&amp;AB52</f>
        <v>-</v>
      </c>
      <c r="X56" s="636"/>
      <c r="Y56" s="637" t="str">
        <f>AB52&amp;"-"&amp;AD52</f>
        <v>-да</v>
      </c>
      <c r="Z56" s="636"/>
      <c r="AA56" s="636"/>
      <c r="AB56" s="636"/>
      <c r="AC56" s="636"/>
      <c r="AD56" s="220"/>
      <c r="AE56" s="658"/>
      <c r="AF56" s="659"/>
      <c r="AG56" s="177" t="s">
        <v>507</v>
      </c>
      <c r="AH56" s="636"/>
      <c r="AI56" s="636"/>
      <c r="AJ56" s="636"/>
      <c r="AK56" s="636"/>
      <c r="AL56" s="636"/>
      <c r="AM56" s="636"/>
      <c r="AN56" s="636"/>
      <c r="AO56" s="636"/>
      <c r="AP56" s="636"/>
      <c r="AQ56" s="636"/>
      <c r="AR56" s="636"/>
      <c r="AS56" s="636"/>
      <c r="AT56" s="636"/>
      <c r="AU56" s="637" t="str">
        <f>AX52&amp;"-"&amp;AZ52</f>
        <v>-</v>
      </c>
      <c r="AV56" s="636"/>
      <c r="AW56" s="637" t="str">
        <f>AZ52&amp;"-"&amp;BB52</f>
        <v>-</v>
      </c>
      <c r="AX56" s="636"/>
      <c r="AY56" s="636"/>
      <c r="AZ56" s="636"/>
      <c r="BA56" s="636"/>
      <c r="BB56" s="657" t="str">
        <f>BE52&amp;"-"&amp;BG52</f>
        <v>-</v>
      </c>
      <c r="BC56" s="528"/>
      <c r="BE56" s="129"/>
      <c r="BF56" s="129" t="str">
        <f t="shared" si="40"/>
        <v/>
      </c>
      <c r="BG56" s="129"/>
      <c r="BH56" s="129"/>
      <c r="BI56" s="50">
        <v>11</v>
      </c>
    </row>
    <row r="57" ht="11.5" customHeight="1">
      <c r="A57" s="493" t="s">
        <v>278</v>
      </c>
      <c r="B57" s="493" t="s">
        <v>279</v>
      </c>
      <c r="C57" s="493" t="s">
        <v>280</v>
      </c>
      <c r="D57" s="493" t="s">
        <v>531</v>
      </c>
      <c r="E57" s="505"/>
      <c r="F57" s="505"/>
      <c r="G57" s="505"/>
      <c r="H57" s="505"/>
      <c r="I57" s="517"/>
      <c r="J57" s="512"/>
      <c r="K57" s="493"/>
      <c r="L57" s="495"/>
      <c r="P57" s="132"/>
      <c r="Q57" s="132"/>
      <c r="R57" s="513"/>
      <c r="S57" s="529"/>
      <c r="T57" s="533" t="s">
        <v>467</v>
      </c>
      <c r="U57" s="214"/>
      <c r="V57" s="214"/>
      <c r="W57" s="214"/>
      <c r="X57" s="214"/>
      <c r="Y57" s="214"/>
      <c r="Z57" s="214"/>
      <c r="AA57" s="214"/>
      <c r="AB57" s="214"/>
      <c r="AC57" s="531"/>
      <c r="AD57" s="687"/>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31"/>
      <c r="BC57" s="532"/>
      <c r="BE57" s="129"/>
      <c r="BF57" s="129" t="str">
        <f t="shared" si="40"/>
        <v xml:space="preserve">Добавить строку</v>
      </c>
      <c r="BG57" s="129"/>
      <c r="BH57" s="129"/>
      <c r="BI57" s="50">
        <v>11</v>
      </c>
    </row>
    <row r="58" s="57" customFormat="1" ht="0" customHeight="1">
      <c r="A58" s="133" t="s">
        <v>278</v>
      </c>
      <c r="B58" s="133" t="s">
        <v>279</v>
      </c>
      <c r="C58" s="133" t="s">
        <v>280</v>
      </c>
      <c r="D58" s="133" t="s">
        <v>531</v>
      </c>
      <c r="E58" s="505"/>
      <c r="F58" s="505"/>
      <c r="G58" s="505"/>
      <c r="H58" s="505"/>
      <c r="I58" s="512"/>
      <c r="J58" s="133"/>
      <c r="K58" s="133"/>
      <c r="L58" s="212"/>
      <c r="M58" s="610"/>
      <c r="N58" s="610"/>
      <c r="O58" s="610"/>
      <c r="P58" s="132"/>
      <c r="Q58" s="132"/>
      <c r="R58" s="513"/>
      <c r="S58" s="606"/>
      <c r="T58" s="607"/>
      <c r="U58" s="608"/>
      <c r="V58" s="608"/>
      <c r="W58" s="608"/>
      <c r="X58" s="608"/>
      <c r="Y58" s="608"/>
      <c r="Z58" s="608"/>
      <c r="AA58" s="608"/>
      <c r="AB58" s="608"/>
      <c r="AC58" s="608"/>
      <c r="AD58" s="608"/>
      <c r="AE58" s="608"/>
      <c r="AF58" s="608"/>
      <c r="AG58" s="608"/>
      <c r="AH58" s="608"/>
      <c r="AI58" s="608"/>
      <c r="AJ58" s="608"/>
      <c r="AK58" s="608"/>
      <c r="AL58" s="608"/>
      <c r="AM58" s="608"/>
      <c r="AN58" s="608"/>
      <c r="AO58" s="608"/>
      <c r="AP58" s="608"/>
      <c r="AQ58" s="608"/>
      <c r="AR58" s="608"/>
      <c r="AS58" s="608"/>
      <c r="AT58" s="608"/>
      <c r="AU58" s="608"/>
      <c r="AV58" s="608"/>
      <c r="AW58" s="608"/>
      <c r="AX58" s="608"/>
      <c r="AY58" s="608"/>
      <c r="AZ58" s="608"/>
      <c r="BA58" s="608"/>
      <c r="BB58" s="608"/>
      <c r="BC58" s="609"/>
      <c r="BE58" s="129"/>
      <c r="BF58" s="129" t="str">
        <f t="shared" si="40"/>
        <v/>
      </c>
      <c r="BG58" s="129"/>
      <c r="BH58" s="129"/>
      <c r="BI58" s="57">
        <v>0</v>
      </c>
    </row>
    <row r="59" s="57" customFormat="1" ht="0" customHeight="1">
      <c r="A59" s="133" t="s">
        <v>278</v>
      </c>
      <c r="B59" s="133" t="s">
        <v>279</v>
      </c>
      <c r="C59" s="133" t="s">
        <v>280</v>
      </c>
      <c r="D59" s="133" t="s">
        <v>531</v>
      </c>
      <c r="E59" s="505"/>
      <c r="F59" s="505"/>
      <c r="G59" s="505"/>
      <c r="H59" s="494"/>
      <c r="I59" s="133"/>
      <c r="J59" s="133"/>
      <c r="K59" s="133"/>
      <c r="L59" s="212"/>
      <c r="M59" s="478"/>
      <c r="N59" s="478"/>
      <c r="O59" s="57"/>
      <c r="P59" s="167"/>
      <c r="Q59" s="538"/>
      <c r="R59" s="660"/>
      <c r="S59" s="606"/>
      <c r="T59" s="607"/>
      <c r="U59" s="608"/>
      <c r="V59" s="608"/>
      <c r="W59" s="608"/>
      <c r="X59" s="608"/>
      <c r="Y59" s="608"/>
      <c r="Z59" s="608"/>
      <c r="AA59" s="608"/>
      <c r="AB59" s="608"/>
      <c r="AC59" s="608"/>
      <c r="AD59" s="608"/>
      <c r="AE59" s="608"/>
      <c r="AF59" s="608"/>
      <c r="AG59" s="608"/>
      <c r="AH59" s="608"/>
      <c r="AI59" s="608"/>
      <c r="AJ59" s="608"/>
      <c r="AK59" s="608"/>
      <c r="AL59" s="608"/>
      <c r="AM59" s="608"/>
      <c r="AN59" s="608"/>
      <c r="AO59" s="608"/>
      <c r="AP59" s="608"/>
      <c r="AQ59" s="608"/>
      <c r="AR59" s="608"/>
      <c r="AS59" s="608"/>
      <c r="AT59" s="608"/>
      <c r="AU59" s="608"/>
      <c r="AV59" s="608"/>
      <c r="AW59" s="608"/>
      <c r="AX59" s="608"/>
      <c r="AY59" s="608"/>
      <c r="AZ59" s="608"/>
      <c r="BA59" s="608"/>
      <c r="BB59" s="608"/>
      <c r="BC59" s="609"/>
      <c r="BE59" s="129"/>
      <c r="BF59" s="129" t="str">
        <f t="shared" si="40"/>
        <v/>
      </c>
      <c r="BG59" s="129"/>
      <c r="BH59" s="129"/>
      <c r="BI59" s="57">
        <v>0</v>
      </c>
    </row>
    <row r="60" s="57" customFormat="1" ht="0" customHeight="1">
      <c r="A60" s="133" t="s">
        <v>278</v>
      </c>
      <c r="B60" s="133" t="s">
        <v>279</v>
      </c>
      <c r="C60" s="133" t="s">
        <v>280</v>
      </c>
      <c r="D60" s="133"/>
      <c r="E60" s="505"/>
      <c r="F60" s="505"/>
      <c r="G60" s="494"/>
      <c r="H60" s="133"/>
      <c r="I60" s="133"/>
      <c r="J60" s="133"/>
      <c r="K60" s="133"/>
      <c r="L60" s="212"/>
      <c r="M60" s="478"/>
      <c r="N60" s="478"/>
      <c r="P60" s="167"/>
      <c r="Q60" s="538"/>
      <c r="R60" s="167"/>
      <c r="S60" s="543"/>
      <c r="T60" s="546"/>
      <c r="U60" s="545"/>
      <c r="V60" s="545"/>
      <c r="W60" s="545"/>
      <c r="X60" s="545"/>
      <c r="Y60" s="545"/>
      <c r="Z60" s="545"/>
      <c r="AA60" s="545"/>
      <c r="AB60" s="545"/>
      <c r="AC60" s="545"/>
      <c r="AD60" s="545"/>
      <c r="AE60" s="545"/>
      <c r="AF60" s="545"/>
      <c r="AG60" s="545"/>
      <c r="AH60" s="545"/>
      <c r="AI60" s="545"/>
      <c r="AJ60" s="545"/>
      <c r="AK60" s="545"/>
      <c r="AL60" s="545"/>
      <c r="AM60" s="545"/>
      <c r="AN60" s="545"/>
      <c r="AO60" s="545"/>
      <c r="AP60" s="545"/>
      <c r="AQ60" s="545"/>
      <c r="AR60" s="545"/>
      <c r="AS60" s="545"/>
      <c r="AT60" s="545"/>
      <c r="AU60" s="545"/>
      <c r="AV60" s="545"/>
      <c r="AW60" s="545"/>
      <c r="AX60" s="545"/>
      <c r="AY60" s="545"/>
      <c r="AZ60" s="545"/>
      <c r="BA60" s="545"/>
      <c r="BB60" s="545"/>
      <c r="BC60" s="545"/>
      <c r="BE60" s="129"/>
      <c r="BF60" s="129" t="str">
        <f t="shared" si="40"/>
        <v/>
      </c>
      <c r="BG60" s="129"/>
      <c r="BH60" s="129"/>
      <c r="BI60" s="57">
        <v>0</v>
      </c>
    </row>
    <row r="61" s="57" customFormat="1" ht="0" customHeight="1">
      <c r="A61" s="133" t="s">
        <v>278</v>
      </c>
      <c r="B61" s="133" t="s">
        <v>279</v>
      </c>
      <c r="C61" s="133"/>
      <c r="D61" s="133"/>
      <c r="E61" s="505"/>
      <c r="F61" s="494"/>
      <c r="G61" s="133"/>
      <c r="H61" s="133"/>
      <c r="I61" s="133"/>
      <c r="J61" s="133"/>
      <c r="K61" s="133"/>
      <c r="L61" s="212"/>
      <c r="M61" s="542"/>
      <c r="N61" s="542"/>
      <c r="P61" s="167"/>
      <c r="Q61" s="538"/>
      <c r="R61" s="167"/>
      <c r="S61" s="543"/>
      <c r="T61" s="546" t="s">
        <v>238</v>
      </c>
      <c r="U61" s="545"/>
      <c r="V61" s="545"/>
      <c r="W61" s="545"/>
      <c r="X61" s="545"/>
      <c r="Y61" s="545"/>
      <c r="Z61" s="545"/>
      <c r="AA61" s="545"/>
      <c r="AB61" s="545"/>
      <c r="AC61" s="545"/>
      <c r="AD61" s="545"/>
      <c r="AE61" s="545"/>
      <c r="AF61" s="545"/>
      <c r="AG61" s="545"/>
      <c r="AH61" s="545"/>
      <c r="AI61" s="545"/>
      <c r="AJ61" s="545"/>
      <c r="AK61" s="545"/>
      <c r="AL61" s="545"/>
      <c r="AM61" s="545"/>
      <c r="AN61" s="545"/>
      <c r="AO61" s="545"/>
      <c r="AP61" s="545"/>
      <c r="AQ61" s="545"/>
      <c r="AR61" s="545"/>
      <c r="AS61" s="545"/>
      <c r="AT61" s="545"/>
      <c r="AU61" s="545"/>
      <c r="AV61" s="545"/>
      <c r="AW61" s="545"/>
      <c r="AX61" s="545"/>
      <c r="AY61" s="545"/>
      <c r="AZ61" s="545"/>
      <c r="BA61" s="545"/>
      <c r="BB61" s="545"/>
      <c r="BC61" s="545"/>
      <c r="BE61" s="129"/>
      <c r="BF61" s="129" t="str">
        <f t="shared" si="40"/>
        <v xml:space="preserve">Добавить централизованную систему для дифференциации</v>
      </c>
      <c r="BG61" s="129"/>
      <c r="BH61" s="129"/>
      <c r="BI61" s="57">
        <v>0</v>
      </c>
    </row>
    <row r="62" s="57" customFormat="1" ht="0" customHeight="1">
      <c r="A62" s="133" t="s">
        <v>278</v>
      </c>
      <c r="B62" s="133"/>
      <c r="C62" s="133"/>
      <c r="D62" s="133"/>
      <c r="E62" s="494"/>
      <c r="F62" s="133"/>
      <c r="G62" s="133"/>
      <c r="H62" s="133"/>
      <c r="I62" s="133"/>
      <c r="J62" s="133"/>
      <c r="K62" s="133"/>
      <c r="L62" s="212"/>
      <c r="M62" s="542"/>
      <c r="N62" s="542"/>
      <c r="O62" s="57"/>
      <c r="P62" s="167"/>
      <c r="Q62" s="538"/>
      <c r="R62" s="167"/>
      <c r="S62" s="543"/>
      <c r="T62" s="546" t="s">
        <v>239</v>
      </c>
      <c r="U62" s="545"/>
      <c r="V62" s="545"/>
      <c r="W62" s="545"/>
      <c r="X62" s="545"/>
      <c r="Y62" s="545"/>
      <c r="Z62" s="545"/>
      <c r="AA62" s="545"/>
      <c r="AB62" s="545"/>
      <c r="AC62" s="545"/>
      <c r="AD62" s="545"/>
      <c r="AE62" s="545"/>
      <c r="AF62" s="545"/>
      <c r="AG62" s="545"/>
      <c r="AH62" s="545"/>
      <c r="AI62" s="545"/>
      <c r="AJ62" s="545"/>
      <c r="AK62" s="545"/>
      <c r="AL62" s="545"/>
      <c r="AM62" s="545"/>
      <c r="AN62" s="545"/>
      <c r="AO62" s="545"/>
      <c r="AP62" s="545"/>
      <c r="AQ62" s="545"/>
      <c r="AR62" s="545"/>
      <c r="AS62" s="545"/>
      <c r="AT62" s="545"/>
      <c r="AU62" s="545"/>
      <c r="AV62" s="545"/>
      <c r="AW62" s="545"/>
      <c r="AX62" s="545"/>
      <c r="AY62" s="545"/>
      <c r="AZ62" s="545"/>
      <c r="BA62" s="545"/>
      <c r="BB62" s="545"/>
      <c r="BC62" s="545"/>
      <c r="BE62" s="129"/>
      <c r="BF62" s="129" t="str">
        <f t="shared" si="40"/>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42"/>
      <c r="N63" s="542"/>
      <c r="P63" s="167"/>
      <c r="Q63" s="538"/>
      <c r="R63" s="167"/>
      <c r="S63" s="543"/>
      <c r="T63" s="546" t="s">
        <v>240</v>
      </c>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545"/>
      <c r="AY63" s="545"/>
      <c r="AZ63" s="545"/>
      <c r="BA63" s="545"/>
      <c r="BB63" s="545"/>
      <c r="BC63" s="545"/>
      <c r="BE63" s="129"/>
      <c r="BF63" s="129" t="str">
        <f t="shared" si="40"/>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4.65" customHeight="1">
      <c r="O65" s="53"/>
      <c r="S65" s="490"/>
      <c r="T65" s="588"/>
      <c r="U65" s="588"/>
      <c r="V65" s="588"/>
      <c r="W65" s="588"/>
      <c r="X65" s="588"/>
      <c r="Y65" s="588"/>
      <c r="Z65" s="588"/>
      <c r="AA65" s="588"/>
      <c r="AB65" s="588"/>
      <c r="AC65" s="588"/>
      <c r="AD65" s="588"/>
      <c r="AE65" s="588"/>
      <c r="AF65" s="588"/>
      <c r="AG65" s="588"/>
      <c r="AH65" s="588"/>
      <c r="AI65" s="588"/>
      <c r="AJ65" s="588"/>
      <c r="AK65" s="588"/>
      <c r="AL65" s="588"/>
      <c r="AM65" s="588"/>
      <c r="AN65" s="588"/>
      <c r="AO65" s="588"/>
      <c r="AP65" s="588"/>
      <c r="AQ65" s="588"/>
      <c r="AR65" s="588"/>
      <c r="AS65" s="588"/>
      <c r="AT65" s="588"/>
      <c r="AU65" s="588"/>
      <c r="AV65" s="588"/>
      <c r="AW65" s="588"/>
      <c r="AX65" s="588"/>
      <c r="AY65" s="588"/>
      <c r="AZ65" s="588"/>
      <c r="BA65" s="588"/>
      <c r="BB65" s="588"/>
      <c r="BC65" s="588"/>
      <c r="BI65" s="50">
        <v>14</v>
      </c>
    </row>
    <row r="66" ht="14.65" customHeight="1">
      <c r="O66" s="53"/>
      <c r="T66" s="588"/>
      <c r="U66" s="588"/>
      <c r="V66" s="588"/>
      <c r="W66" s="588"/>
      <c r="X66" s="588"/>
      <c r="Y66" s="588"/>
      <c r="Z66" s="588"/>
      <c r="AA66" s="588"/>
      <c r="AB66" s="588"/>
      <c r="AC66" s="588"/>
      <c r="AD66" s="588"/>
      <c r="AE66" s="588"/>
      <c r="AF66" s="588"/>
      <c r="AG66" s="588"/>
      <c r="AH66" s="588"/>
      <c r="AI66" s="588"/>
      <c r="AJ66" s="588"/>
      <c r="AK66" s="588"/>
      <c r="AL66" s="588"/>
      <c r="AM66" s="588"/>
      <c r="AN66" s="588"/>
      <c r="AO66" s="588"/>
      <c r="AP66" s="588"/>
      <c r="AQ66" s="588"/>
      <c r="AR66" s="588"/>
      <c r="AS66" s="588"/>
      <c r="AT66" s="588"/>
      <c r="AU66" s="588"/>
      <c r="AV66" s="588"/>
      <c r="AW66" s="588"/>
      <c r="AX66" s="588"/>
      <c r="AY66" s="588"/>
      <c r="AZ66" s="588"/>
      <c r="BA66" s="588"/>
      <c r="BB66" s="588"/>
      <c r="BC66" s="588"/>
      <c r="BI66" s="50">
        <v>14</v>
      </c>
    </row>
    <row r="67" ht="14.65" customHeight="1">
      <c r="O67" s="53"/>
      <c r="S67" s="490"/>
      <c r="T67" s="588"/>
      <c r="U67" s="588"/>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R67" s="588"/>
      <c r="AS67" s="588"/>
      <c r="AT67" s="588"/>
      <c r="AU67" s="588"/>
      <c r="AV67" s="588"/>
      <c r="AW67" s="588"/>
      <c r="AX67" s="588"/>
      <c r="AY67" s="588"/>
      <c r="AZ67" s="588"/>
      <c r="BA67" s="588"/>
      <c r="BB67" s="588"/>
      <c r="BC67" s="588"/>
      <c r="BI67" s="50">
        <v>14</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2">
        <v>0</v>
      </c>
      <c r="R69" s="492">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1E0077-0050-46E1-B581-0006008B005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DD00CE-004B-401E-9957-00370074001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7100EB-008F-4789-A834-000C003800B7}"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13001A-0031-42B5-9E85-00D90070001F}"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8F00BC-0000-4D71-A367-0089002000BC}"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8"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9" width="3.00390625"/>
    <col hidden="1" min="11" max="13" style="129" width="9.140625"/>
    <col customWidth="1" hidden="1" min="14" max="14" style="129" width="25.7109375"/>
    <col customWidth="1" hidden="1" min="15" max="15" style="129" width="14.421875"/>
    <col hidden="1" min="16" max="19" style="130" width="9.140625"/>
    <col hidden="1" min="20" max="27" style="50" width="9.140625"/>
    <col customWidth="1" min="28" max="28" style="50" width="8.00390625"/>
    <col hidden="1" min="29" max="29" style="50" width="9.140625"/>
  </cols>
  <sheetData>
    <row r="1" s="57" customFormat="1" ht="5.25" hidden="1" customHeight="1">
      <c r="A1" s="131"/>
      <c r="B1" s="57"/>
      <c r="C1" s="57"/>
      <c r="D1" s="132"/>
      <c r="F1" s="57"/>
      <c r="G1" s="133" t="s">
        <v>83</v>
      </c>
      <c r="H1" s="132" t="s">
        <v>84</v>
      </c>
      <c r="I1" s="134" t="s">
        <v>85</v>
      </c>
      <c r="J1" s="133" t="s">
        <v>83</v>
      </c>
      <c r="K1" s="133"/>
      <c r="L1" s="133"/>
      <c r="M1" s="133"/>
      <c r="N1" s="133"/>
      <c r="O1" s="133"/>
      <c r="P1" s="133"/>
      <c r="Q1" s="133"/>
      <c r="R1" s="133"/>
      <c r="S1" s="133"/>
      <c r="T1" s="134"/>
      <c r="U1" s="134"/>
      <c r="V1" s="134"/>
      <c r="W1" s="134"/>
      <c r="X1" s="134"/>
      <c r="Y1" s="134"/>
      <c r="Z1" s="134"/>
      <c r="AA1" s="134"/>
      <c r="AB1" s="134"/>
      <c r="AC1" s="57" t="s">
        <v>14</v>
      </c>
    </row>
    <row r="2" s="135" customFormat="1" ht="11.25" customHeight="1">
      <c r="A2" s="120"/>
      <c r="B2" s="136"/>
      <c r="C2" s="136"/>
      <c r="D2" s="137"/>
      <c r="E2" s="136"/>
      <c r="F2" s="136"/>
      <c r="G2" s="136"/>
      <c r="H2" s="136"/>
      <c r="I2" s="136"/>
      <c r="J2" s="133"/>
      <c r="K2" s="133"/>
      <c r="L2" s="133"/>
      <c r="M2" s="133"/>
      <c r="N2" s="133"/>
      <c r="O2" s="133"/>
      <c r="P2" s="138"/>
      <c r="Q2" s="138"/>
      <c r="R2" s="138"/>
      <c r="S2" s="138"/>
      <c r="T2" s="137"/>
      <c r="U2" s="137"/>
      <c r="V2" s="137"/>
      <c r="W2" s="137"/>
      <c r="X2" s="137"/>
      <c r="Y2" s="137"/>
      <c r="Z2" s="137"/>
      <c r="AA2" s="137"/>
      <c r="AB2" s="137"/>
      <c r="AC2" s="135">
        <v>11</v>
      </c>
    </row>
    <row r="3" s="139" customFormat="1" ht="3" customHeight="1">
      <c r="A3" s="50"/>
      <c r="B3" s="53"/>
      <c r="C3" s="50"/>
      <c r="D3" s="128"/>
      <c r="E3" s="50"/>
      <c r="F3" s="50"/>
      <c r="G3" s="50"/>
      <c r="H3" s="50"/>
      <c r="I3" s="140"/>
      <c r="J3" s="133"/>
      <c r="K3" s="129"/>
      <c r="L3" s="129"/>
      <c r="M3" s="129"/>
      <c r="N3" s="129"/>
      <c r="O3" s="129"/>
      <c r="P3" s="130"/>
      <c r="Q3" s="130"/>
      <c r="R3" s="130"/>
      <c r="S3" s="130"/>
      <c r="AC3" s="139">
        <v>3</v>
      </c>
    </row>
    <row r="4" s="139" customFormat="1" ht="27.300000000000001" customHeight="1">
      <c r="A4" s="50"/>
      <c r="B4" s="53"/>
      <c r="C4" s="50"/>
      <c r="D4" s="128"/>
      <c r="E4" s="141" t="str">
        <f>NameTemplatesInListMO</f>
        <v xml:space="preserve">Перечень муниципальных районов и муниципальных образований (территорий действия тарифа)</v>
      </c>
      <c r="F4" s="141"/>
      <c r="G4" s="141"/>
      <c r="H4" s="141"/>
      <c r="I4" s="141"/>
      <c r="J4" s="133"/>
      <c r="K4" s="129"/>
      <c r="L4" s="129"/>
      <c r="M4" s="129"/>
      <c r="N4" s="129"/>
      <c r="O4" s="129"/>
      <c r="P4" s="130"/>
      <c r="Q4" s="130"/>
      <c r="R4" s="130"/>
      <c r="S4" s="130"/>
      <c r="AC4" s="139">
        <v>26</v>
      </c>
    </row>
    <row r="5" s="139" customFormat="1" ht="3" customHeight="1">
      <c r="A5" s="50"/>
      <c r="B5" s="53"/>
      <c r="C5" s="50"/>
      <c r="D5" s="128"/>
      <c r="E5" s="50"/>
      <c r="F5" s="50"/>
      <c r="G5" s="142"/>
      <c r="H5" s="142"/>
      <c r="I5" s="120"/>
      <c r="J5" s="129"/>
      <c r="K5" s="129"/>
      <c r="L5" s="129"/>
      <c r="M5" s="129"/>
      <c r="N5" s="129"/>
      <c r="O5" s="129"/>
      <c r="P5" s="130"/>
      <c r="Q5" s="130"/>
      <c r="R5" s="130"/>
      <c r="S5" s="130"/>
      <c r="AC5" s="139">
        <v>3</v>
      </c>
    </row>
    <row r="6" s="139" customFormat="1" ht="20.25" hidden="1" customHeight="1">
      <c r="A6" s="143"/>
      <c r="B6" s="64"/>
      <c r="C6" s="143"/>
      <c r="D6" s="128"/>
      <c r="E6" s="125"/>
      <c r="F6" s="125"/>
      <c r="G6" s="142"/>
      <c r="H6" s="144"/>
      <c r="I6" s="144"/>
      <c r="J6" s="129"/>
      <c r="K6" s="129"/>
      <c r="L6" s="129"/>
      <c r="M6" s="129"/>
      <c r="N6" s="129"/>
      <c r="O6" s="129"/>
      <c r="P6" s="130"/>
      <c r="Q6" s="130"/>
      <c r="R6" s="130"/>
      <c r="S6" s="130"/>
      <c r="AC6" s="139">
        <v>0</v>
      </c>
    </row>
    <row r="7" ht="25.5" hidden="1" customHeight="1">
      <c r="AC7" s="50">
        <v>0</v>
      </c>
    </row>
    <row r="8" s="139" customFormat="1" ht="14.65" customHeight="1">
      <c r="A8" s="50"/>
      <c r="B8" s="53"/>
      <c r="C8" s="50"/>
      <c r="D8" s="128"/>
      <c r="E8" s="73" t="s">
        <v>86</v>
      </c>
      <c r="F8" s="145"/>
      <c r="G8" s="72"/>
      <c r="H8" s="146" t="s">
        <v>87</v>
      </c>
      <c r="I8" s="146"/>
      <c r="J8" s="129"/>
      <c r="K8" s="129"/>
      <c r="L8" s="129"/>
      <c r="M8" s="129"/>
      <c r="N8" s="129"/>
      <c r="O8" s="129"/>
      <c r="P8" s="130"/>
      <c r="Q8" s="130"/>
      <c r="R8" s="130"/>
      <c r="S8" s="130"/>
      <c r="AC8" s="139">
        <v>14</v>
      </c>
    </row>
    <row r="9" s="139" customFormat="1" ht="21" customHeight="1">
      <c r="A9" s="50"/>
      <c r="B9" s="53"/>
      <c r="C9" s="50"/>
      <c r="D9" s="128"/>
      <c r="E9" s="147" t="s">
        <v>88</v>
      </c>
      <c r="F9" s="147"/>
      <c r="G9" s="148" t="s">
        <v>89</v>
      </c>
      <c r="H9" s="148" t="s">
        <v>89</v>
      </c>
      <c r="I9" s="148" t="s">
        <v>85</v>
      </c>
      <c r="J9" s="129"/>
      <c r="K9" s="129"/>
      <c r="L9" s="129"/>
      <c r="M9" s="129"/>
      <c r="N9" s="129"/>
      <c r="O9" s="129"/>
      <c r="P9" s="130"/>
      <c r="Q9" s="130"/>
      <c r="R9" s="130"/>
      <c r="S9" s="130"/>
      <c r="AC9" s="139">
        <v>20</v>
      </c>
    </row>
    <row r="10" ht="11.5" customHeight="1">
      <c r="D10" s="149"/>
      <c r="E10" s="150" t="s">
        <v>90</v>
      </c>
      <c r="F10" s="150"/>
      <c r="G10" s="150" t="s">
        <v>91</v>
      </c>
      <c r="H10" s="150" t="s">
        <v>92</v>
      </c>
      <c r="I10" s="150" t="s">
        <v>93</v>
      </c>
      <c r="J10" s="151"/>
      <c r="K10" s="151"/>
      <c r="L10" s="151"/>
      <c r="M10" s="151"/>
      <c r="N10" s="151"/>
      <c r="O10" s="151"/>
      <c r="P10" s="152"/>
      <c r="Q10" s="152"/>
      <c r="R10" s="152"/>
      <c r="S10" s="152"/>
      <c r="AC10" s="50">
        <v>11</v>
      </c>
    </row>
    <row r="11" s="139" customFormat="1" ht="1.05" customHeight="1">
      <c r="A11" s="50"/>
      <c r="B11" s="53"/>
      <c r="C11" s="50"/>
      <c r="D11" s="128"/>
      <c r="E11" s="153"/>
      <c r="F11" s="153"/>
      <c r="G11" s="154"/>
      <c r="H11" s="154"/>
      <c r="I11" s="155"/>
      <c r="J11" s="156" t="s">
        <v>94</v>
      </c>
      <c r="K11" s="129"/>
      <c r="L11" s="129"/>
      <c r="M11" s="129" t="s">
        <v>95</v>
      </c>
      <c r="N11" s="129" t="s">
        <v>96</v>
      </c>
      <c r="O11" s="129" t="s">
        <v>97</v>
      </c>
      <c r="P11" s="130"/>
      <c r="Q11" s="130"/>
      <c r="R11" s="130"/>
      <c r="S11" s="130"/>
      <c r="AC11" s="139">
        <v>1</v>
      </c>
    </row>
    <row r="12" s="139" customFormat="1" ht="15" customHeight="1">
      <c r="A12" s="51">
        <v>1</v>
      </c>
      <c r="B12" s="53"/>
      <c r="C12" s="50"/>
      <c r="D12" s="128"/>
      <c r="E12" s="157">
        <f>A12</f>
        <v>1</v>
      </c>
      <c r="F12" s="158" t="s">
        <v>98</v>
      </c>
      <c r="G12" s="159" t="str">
        <f>"Территория "&amp;E12</f>
        <v xml:space="preserve">Территория 1</v>
      </c>
      <c r="H12" s="160"/>
      <c r="I12" s="160"/>
      <c r="J12" s="129"/>
      <c r="K12" s="129"/>
      <c r="L12" s="129"/>
      <c r="M12" s="129"/>
      <c r="N12" s="129"/>
      <c r="O12" s="129"/>
      <c r="P12" s="130"/>
      <c r="Q12" s="130"/>
      <c r="R12" s="130"/>
      <c r="S12" s="130"/>
      <c r="AC12" s="139">
        <v>14</v>
      </c>
    </row>
    <row r="13" s="63" customFormat="1" ht="15.75" customHeight="1">
      <c r="A13" s="51"/>
      <c r="B13" s="53">
        <v>1</v>
      </c>
      <c r="C13" s="53"/>
      <c r="D13" s="161"/>
      <c r="E13" s="162" t="str">
        <f>A12&amp;"."&amp;B13</f>
        <v>1.1</v>
      </c>
      <c r="F13" s="163" t="s">
        <v>99</v>
      </c>
      <c r="G13" s="164" t="s">
        <v>100</v>
      </c>
      <c r="H13" s="164" t="s">
        <v>100</v>
      </c>
      <c r="I13" s="165" t="s">
        <v>101</v>
      </c>
      <c r="J13" s="129" t="e">
        <f>MERGEVALUE(G13)</f>
        <v>#NAME?</v>
      </c>
      <c r="K13" s="57"/>
      <c r="L13" s="57"/>
      <c r="M13" s="129" t="str">
        <f t="array" ref="M13">IF(ISERROR(MATCH(MID(N13,1,250),MID(note_ter,1,250),0)),"n","y")</f>
        <v>n</v>
      </c>
      <c r="N13" s="57"/>
      <c r="O13" s="129" t="str">
        <f>H13&amp;"("&amp;I13&amp;")"</f>
        <v xml:space="preserve">Добрянский городской округ(57718000)</v>
      </c>
      <c r="P13" s="53"/>
      <c r="Q13" s="53"/>
      <c r="R13" s="166"/>
      <c r="S13" s="53"/>
      <c r="T13" s="53"/>
      <c r="U13" s="53"/>
      <c r="V13" s="64"/>
      <c r="W13" s="64"/>
      <c r="X13" s="167"/>
      <c r="Y13" s="167"/>
      <c r="Z13" s="167"/>
      <c r="AA13" s="167"/>
      <c r="AB13" s="167"/>
      <c r="AC13" s="63">
        <v>15</v>
      </c>
    </row>
    <row r="14" s="63" customFormat="1" ht="15.75" customHeight="1">
      <c r="A14" s="51"/>
      <c r="B14" s="53"/>
      <c r="C14" s="168"/>
      <c r="D14" s="169"/>
      <c r="E14" s="170"/>
      <c r="F14" s="171"/>
      <c r="G14" s="172" t="s">
        <v>102</v>
      </c>
      <c r="H14" s="173"/>
      <c r="I14" s="174"/>
      <c r="J14" s="57"/>
      <c r="K14" s="57"/>
      <c r="L14" s="57"/>
      <c r="M14" s="57"/>
      <c r="N14" s="129"/>
      <c r="O14" s="57"/>
      <c r="P14" s="53"/>
      <c r="Q14" s="53"/>
      <c r="R14" s="166"/>
      <c r="S14" s="53"/>
      <c r="T14" s="53"/>
      <c r="U14" s="53"/>
      <c r="V14" s="64"/>
      <c r="W14" s="64"/>
      <c r="X14" s="167"/>
      <c r="Y14" s="167"/>
      <c r="Z14" s="167"/>
      <c r="AA14" s="167"/>
      <c r="AB14" s="167"/>
      <c r="AC14" s="63">
        <v>15</v>
      </c>
    </row>
    <row r="15" s="139" customFormat="1" ht="14.65" customHeight="1">
      <c r="A15" s="50"/>
      <c r="B15" s="53"/>
      <c r="C15" s="50"/>
      <c r="D15" s="128"/>
      <c r="E15" s="175"/>
      <c r="F15" s="176"/>
      <c r="G15" s="177" t="s">
        <v>103</v>
      </c>
      <c r="H15" s="176"/>
      <c r="I15" s="178"/>
      <c r="J15" s="156"/>
      <c r="K15" s="129"/>
      <c r="L15" s="129"/>
      <c r="M15" s="129"/>
      <c r="N15" s="129" t="s">
        <v>104</v>
      </c>
      <c r="O15" s="129"/>
      <c r="P15" s="130"/>
      <c r="Q15" s="130"/>
      <c r="R15" s="130"/>
      <c r="S15" s="130"/>
      <c r="AC15" s="139">
        <v>14</v>
      </c>
    </row>
    <row r="16" s="139" customFormat="1" ht="22" customHeight="1">
      <c r="A16" s="50"/>
      <c r="B16" s="53"/>
      <c r="C16" s="50"/>
      <c r="D16" s="128"/>
      <c r="E16" s="179"/>
      <c r="F16" s="179"/>
      <c r="G16" s="179"/>
      <c r="H16" s="179"/>
      <c r="I16" s="179"/>
      <c r="J16" s="129"/>
      <c r="K16" s="129"/>
      <c r="L16" s="129"/>
      <c r="M16" s="129"/>
      <c r="N16" s="129"/>
      <c r="O16" s="129"/>
      <c r="P16" s="130"/>
      <c r="Q16" s="130"/>
      <c r="R16" s="130"/>
      <c r="S16" s="130"/>
      <c r="AC16" s="139">
        <v>21</v>
      </c>
    </row>
    <row r="17" s="139" customFormat="1" ht="14.65" customHeight="1">
      <c r="A17" s="50"/>
      <c r="B17" s="53"/>
      <c r="C17" s="50"/>
      <c r="D17" s="128"/>
      <c r="E17" s="50"/>
      <c r="F17" s="50"/>
      <c r="G17" s="50"/>
      <c r="H17" s="50"/>
      <c r="I17" s="50"/>
      <c r="J17" s="129"/>
      <c r="K17" s="129"/>
      <c r="L17" s="129"/>
      <c r="M17" s="129"/>
      <c r="N17" s="129"/>
      <c r="O17" s="129"/>
      <c r="P17" s="130"/>
      <c r="Q17" s="130"/>
      <c r="R17" s="130"/>
      <c r="S17" s="130"/>
      <c r="AC17" s="139">
        <v>14</v>
      </c>
    </row>
    <row r="18" s="139" customFormat="1" ht="1.05" customHeight="1">
      <c r="A18" s="50"/>
      <c r="B18" s="53"/>
      <c r="C18" s="50"/>
      <c r="D18" s="128"/>
      <c r="E18" s="50"/>
      <c r="F18" s="50"/>
      <c r="G18" s="50"/>
      <c r="H18" s="50"/>
      <c r="I18" s="50"/>
      <c r="J18" s="129"/>
      <c r="K18" s="129"/>
      <c r="L18" s="129"/>
      <c r="M18" s="129"/>
      <c r="N18" s="129"/>
      <c r="O18" s="129"/>
      <c r="P18" s="130"/>
      <c r="Q18" s="130"/>
      <c r="R18" s="130"/>
      <c r="S18" s="130"/>
      <c r="AC18" s="139">
        <v>1</v>
      </c>
    </row>
    <row r="19" s="180" customFormat="1" ht="10.5" customHeight="1">
      <c r="B19" s="181"/>
      <c r="D19" s="182"/>
      <c r="J19" s="129"/>
      <c r="K19" s="129"/>
      <c r="L19" s="129"/>
      <c r="M19" s="129"/>
      <c r="N19" s="129"/>
      <c r="O19" s="129"/>
      <c r="P19" s="130"/>
      <c r="Q19" s="130"/>
      <c r="R19" s="130"/>
      <c r="S19" s="130"/>
      <c r="AC19" s="180">
        <v>10</v>
      </c>
    </row>
    <row r="20" s="180" customFormat="1" ht="10.5" customHeight="1">
      <c r="B20" s="181"/>
      <c r="D20" s="182"/>
      <c r="J20" s="129"/>
      <c r="K20" s="129"/>
      <c r="L20" s="129"/>
      <c r="M20" s="129"/>
      <c r="N20" s="129"/>
      <c r="O20" s="129"/>
      <c r="P20" s="130"/>
      <c r="Q20" s="130"/>
      <c r="R20" s="130"/>
      <c r="S20" s="130"/>
      <c r="AC20" s="180">
        <v>10</v>
      </c>
    </row>
    <row r="21" ht="14.65" customHeight="1">
      <c r="AC21" s="50">
        <v>14</v>
      </c>
    </row>
    <row r="22" ht="14.65" customHeight="1">
      <c r="AC22" s="50">
        <v>14</v>
      </c>
    </row>
    <row r="23" ht="14.65" customHeight="1">
      <c r="AC23" s="50">
        <v>14</v>
      </c>
    </row>
    <row r="24" ht="14.65" customHeight="1">
      <c r="H24" s="183"/>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82</v>
      </c>
      <c r="B29" s="53">
        <v>0</v>
      </c>
      <c r="C29" s="50">
        <v>3</v>
      </c>
      <c r="D29" s="128">
        <v>3</v>
      </c>
      <c r="E29" s="50">
        <v>6</v>
      </c>
      <c r="F29" s="50">
        <v>0</v>
      </c>
      <c r="G29" s="50">
        <v>46</v>
      </c>
      <c r="H29" s="50">
        <v>42</v>
      </c>
      <c r="I29" s="50">
        <v>14</v>
      </c>
      <c r="J29" s="129">
        <v>3</v>
      </c>
      <c r="K29" s="129">
        <v>0</v>
      </c>
      <c r="L29" s="129">
        <v>0</v>
      </c>
      <c r="M29" s="129">
        <v>0</v>
      </c>
      <c r="N29" s="129">
        <v>0</v>
      </c>
      <c r="O29" s="129">
        <v>0</v>
      </c>
      <c r="P29" s="130">
        <v>0</v>
      </c>
      <c r="Q29" s="130">
        <v>0</v>
      </c>
      <c r="R29" s="130">
        <v>0</v>
      </c>
      <c r="S29" s="130">
        <v>0</v>
      </c>
      <c r="T29" s="50">
        <v>0</v>
      </c>
      <c r="U29" s="50">
        <v>0</v>
      </c>
      <c r="V29" s="50">
        <v>0</v>
      </c>
      <c r="W29" s="50">
        <v>0</v>
      </c>
      <c r="X29" s="50">
        <v>0</v>
      </c>
      <c r="Y29" s="50">
        <v>0</v>
      </c>
      <c r="Z29" s="50">
        <v>0</v>
      </c>
      <c r="AA29" s="50">
        <v>0</v>
      </c>
      <c r="AB29" s="50">
        <v>8</v>
      </c>
      <c r="AC29" s="50">
        <v>23</v>
      </c>
    </row>
  </sheetData>
  <sheetProtection autoFilter="0" deleteColumns="0" deleteRows="0" formatCells="1" formatColumns="0" formatRows="0" insertColumns="1" insertHyperlinks="1" insertRows="0" pivotTables="1" selectLockedCells="0" selectUnlockedCells="0" sheet="0" sort="0"/>
  <mergeCells count="4">
    <mergeCell ref="A12:A14"/>
    <mergeCell ref="E4:I4"/>
    <mergeCell ref="E8:G8"/>
    <mergeCell ref="H8:I8"/>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0100BD-00EF-4EC6-AE83-006800E20021}"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2"/>
      <c r="AD2" s="502"/>
      <c r="AE2" s="502"/>
      <c r="AF2" s="503"/>
      <c r="AG2" s="501" t="e">
        <f>INDEX(PT_DIFFERENTIATION_NTAR,MATCH(A2,PT_DIFFERENTIATION_NTAR_ID,0))</f>
        <v>#VALUE!</v>
      </c>
      <c r="AH2" s="502"/>
      <c r="AI2" s="502"/>
      <c r="AJ2" s="502"/>
      <c r="AK2" s="502"/>
      <c r="AL2" s="502"/>
      <c r="AM2" s="502"/>
      <c r="AN2" s="502"/>
      <c r="AO2" s="502"/>
      <c r="AP2" s="502"/>
      <c r="AQ2" s="502"/>
      <c r="AR2" s="503"/>
      <c r="AS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9"/>
      <c r="AV2" s="129" t="str">
        <f t="shared" ref="AV2:AV9" si="41">IF(T2="","",T2)</f>
        <v xml:space="preserve">Наименование тарифа</v>
      </c>
      <c r="AW2" s="129"/>
      <c r="AX2" s="129"/>
      <c r="AY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2"/>
      <c r="AC3" s="502"/>
      <c r="AD3" s="502"/>
      <c r="AE3" s="502"/>
      <c r="AF3" s="503"/>
      <c r="AG3" s="501" t="e">
        <f>INDEX(PT_DIFFERENTIATION_TER,MATCH(B3,PT_DIFFERENTIATION_TER_ID,0))</f>
        <v>#VALUE!</v>
      </c>
      <c r="AH3" s="502"/>
      <c r="AI3" s="502"/>
      <c r="AJ3" s="502"/>
      <c r="AK3" s="502"/>
      <c r="AL3" s="502"/>
      <c r="AM3" s="502"/>
      <c r="AN3" s="502"/>
      <c r="AO3" s="502"/>
      <c r="AP3" s="502"/>
      <c r="AQ3" s="502"/>
      <c r="AR3" s="503"/>
      <c r="AS3" s="504" t="s">
        <v>400</v>
      </c>
      <c r="AU3" s="129"/>
      <c r="AV3" s="129" t="str">
        <f t="shared" si="41"/>
        <v xml:space="preserve">Территория действия тарифа</v>
      </c>
      <c r="AW3" s="129"/>
      <c r="AX3" s="129"/>
      <c r="AY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532</v>
      </c>
      <c r="U4" s="500"/>
      <c r="V4" s="501"/>
      <c r="W4" s="502"/>
      <c r="X4" s="502"/>
      <c r="Y4" s="502"/>
      <c r="Z4" s="502"/>
      <c r="AA4" s="502"/>
      <c r="AB4" s="502"/>
      <c r="AC4" s="502"/>
      <c r="AD4" s="502"/>
      <c r="AE4" s="502"/>
      <c r="AF4" s="503"/>
      <c r="AG4" s="501" t="e">
        <f>INDEX(PT_DIFFERENTIATION_CS,MATCH(C4,PT_DIFFERENTIATION_CS_ID,0))</f>
        <v>#VALUE!</v>
      </c>
      <c r="AH4" s="502"/>
      <c r="AI4" s="502"/>
      <c r="AJ4" s="502"/>
      <c r="AK4" s="502"/>
      <c r="AL4" s="502"/>
      <c r="AM4" s="502"/>
      <c r="AN4" s="502"/>
      <c r="AO4" s="502"/>
      <c r="AP4" s="502"/>
      <c r="AQ4" s="502"/>
      <c r="AR4" s="503"/>
      <c r="AS4" s="504" t="s">
        <v>533</v>
      </c>
      <c r="AU4" s="129"/>
      <c r="AV4" s="129" t="str">
        <f t="shared" si="41"/>
        <v xml:space="preserve">Наименование централизованной системы горячего водоснабжения</v>
      </c>
      <c r="AW4" s="129"/>
      <c r="AX4" s="129"/>
      <c r="AY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482</v>
      </c>
      <c r="U5" s="500"/>
      <c r="V5" s="689"/>
      <c r="W5" s="690"/>
      <c r="X5" s="690"/>
      <c r="Y5" s="690"/>
      <c r="Z5" s="690"/>
      <c r="AA5" s="690"/>
      <c r="AB5" s="690"/>
      <c r="AC5" s="690"/>
      <c r="AD5" s="690"/>
      <c r="AE5" s="690"/>
      <c r="AF5" s="691"/>
      <c r="AG5" s="692"/>
      <c r="AH5" s="693"/>
      <c r="AI5" s="693"/>
      <c r="AJ5" s="693"/>
      <c r="AK5" s="693"/>
      <c r="AL5" s="693"/>
      <c r="AM5" s="693"/>
      <c r="AN5" s="693"/>
      <c r="AO5" s="693"/>
      <c r="AP5" s="693"/>
      <c r="AQ5" s="693"/>
      <c r="AR5" s="694"/>
      <c r="AS5" s="504" t="s">
        <v>483</v>
      </c>
      <c r="AU5" s="129"/>
      <c r="AV5" s="129" t="str">
        <f t="shared" si="41"/>
        <v xml:space="preserve">Наименование признака дифференциации</v>
      </c>
      <c r="AW5" s="129"/>
      <c r="AX5" s="129"/>
      <c r="AY5" s="50">
        <v>0</v>
      </c>
    </row>
    <row r="6" ht="23.25" hidden="1" customHeight="1">
      <c r="A6" s="493"/>
      <c r="B6" s="493"/>
      <c r="C6" s="493"/>
      <c r="D6" s="493"/>
      <c r="E6" s="505"/>
      <c r="F6" s="505"/>
      <c r="G6" s="505"/>
      <c r="H6" s="505"/>
      <c r="I6" s="517"/>
      <c r="J6" s="512" t="e">
        <f>I5&amp;".1"</f>
        <v>#VALUE!</v>
      </c>
      <c r="K6" s="493"/>
      <c r="L6" s="495" t="s">
        <v>408</v>
      </c>
      <c r="P6" s="132"/>
      <c r="Q6" s="132">
        <v>1</v>
      </c>
      <c r="R6" s="518"/>
      <c r="S6" s="498" t="e">
        <f>$J6</f>
        <v>#VALUE!</v>
      </c>
      <c r="T6" s="519" t="s">
        <v>409</v>
      </c>
      <c r="U6" s="500"/>
      <c r="V6" s="445"/>
      <c r="W6" s="515"/>
      <c r="X6" s="515"/>
      <c r="Y6" s="515"/>
      <c r="Z6" s="515"/>
      <c r="AA6" s="515"/>
      <c r="AB6" s="515"/>
      <c r="AC6" s="515"/>
      <c r="AD6" s="515"/>
      <c r="AE6" s="515"/>
      <c r="AF6" s="516"/>
      <c r="AG6" s="445"/>
      <c r="AH6" s="515"/>
      <c r="AI6" s="515"/>
      <c r="AJ6" s="515"/>
      <c r="AK6" s="515"/>
      <c r="AL6" s="515"/>
      <c r="AM6" s="515"/>
      <c r="AN6" s="515"/>
      <c r="AO6" s="515"/>
      <c r="AP6" s="515"/>
      <c r="AQ6" s="515"/>
      <c r="AR6" s="516"/>
      <c r="AS6" s="631" t="s">
        <v>484</v>
      </c>
      <c r="AU6" s="129"/>
      <c r="AV6" s="129" t="str">
        <f t="shared" si="41"/>
        <v xml:space="preserve">Группа потребителей</v>
      </c>
      <c r="AW6" s="129"/>
      <c r="AX6" s="129"/>
      <c r="AY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1"/>
      <c r="Y7" s="521"/>
      <c r="Z7" s="521"/>
      <c r="AA7" s="521"/>
      <c r="AB7" s="521"/>
      <c r="AC7" s="524"/>
      <c r="AD7" s="224" t="s">
        <v>66</v>
      </c>
      <c r="AE7" s="524"/>
      <c r="AF7" s="224" t="s">
        <v>66</v>
      </c>
      <c r="AG7" s="521"/>
      <c r="AH7" s="521"/>
      <c r="AI7" s="521"/>
      <c r="AJ7" s="521"/>
      <c r="AK7" s="521"/>
      <c r="AL7" s="521"/>
      <c r="AM7" s="521"/>
      <c r="AN7" s="524"/>
      <c r="AO7" s="224" t="s">
        <v>66</v>
      </c>
      <c r="AP7" s="584"/>
      <c r="AQ7" s="224" t="s">
        <v>66</v>
      </c>
      <c r="AR7" s="696"/>
      <c r="AS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1"/>
        <v/>
      </c>
      <c r="AW7" s="129"/>
      <c r="AX7" s="129"/>
      <c r="AY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2"/>
      <c r="Y8" s="522"/>
      <c r="Z8" s="522"/>
      <c r="AA8" s="522"/>
      <c r="AB8" s="522"/>
      <c r="AC8" s="527"/>
      <c r="AD8" s="224"/>
      <c r="AE8" s="527"/>
      <c r="AF8" s="224"/>
      <c r="AG8" s="522"/>
      <c r="AH8" s="522"/>
      <c r="AI8" s="522"/>
      <c r="AJ8" s="522"/>
      <c r="AK8" s="522"/>
      <c r="AL8" s="522"/>
      <c r="AM8" s="522"/>
      <c r="AN8" s="527"/>
      <c r="AO8" s="224"/>
      <c r="AP8" s="586"/>
      <c r="AQ8" s="224"/>
      <c r="AR8" s="698"/>
      <c r="AS8" s="697"/>
      <c r="AU8" s="129"/>
      <c r="AV8" s="129" t="str">
        <f t="shared" si="41"/>
        <v/>
      </c>
      <c r="AW8" s="129"/>
      <c r="AX8" s="129"/>
      <c r="AY8" s="50">
        <v>0</v>
      </c>
    </row>
    <row r="9" ht="21" hidden="1" customHeight="1">
      <c r="A9" s="493"/>
      <c r="B9" s="493"/>
      <c r="C9" s="493"/>
      <c r="D9" s="493"/>
      <c r="E9" s="505"/>
      <c r="F9" s="505"/>
      <c r="G9" s="505"/>
      <c r="H9" s="505"/>
      <c r="I9" s="517"/>
      <c r="J9" s="512"/>
      <c r="K9" s="493"/>
      <c r="L9" s="495"/>
      <c r="P9" s="132"/>
      <c r="Q9" s="132"/>
      <c r="R9" s="513"/>
      <c r="S9" s="529"/>
      <c r="T9" s="533" t="s">
        <v>485</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504" t="s">
        <v>486</v>
      </c>
      <c r="AU9" s="129"/>
      <c r="AV9" s="129" t="str">
        <f t="shared" si="41"/>
        <v xml:space="preserve">Добавить значение признака дифференциации</v>
      </c>
      <c r="AW9" s="129"/>
      <c r="AX9" s="129"/>
      <c r="AY9" s="50">
        <v>0</v>
      </c>
    </row>
    <row r="10" ht="21" hidden="1" customHeight="1">
      <c r="A10" s="493"/>
      <c r="B10" s="493"/>
      <c r="C10" s="493"/>
      <c r="D10" s="493"/>
      <c r="E10" s="505"/>
      <c r="F10" s="505"/>
      <c r="G10" s="505"/>
      <c r="H10" s="505"/>
      <c r="I10" s="512"/>
      <c r="J10" s="493"/>
      <c r="K10" s="493"/>
      <c r="L10" s="495"/>
      <c r="P10" s="132"/>
      <c r="Q10" s="132"/>
      <c r="R10" s="513"/>
      <c r="S10" s="529"/>
      <c r="T10" s="537" t="s">
        <v>414</v>
      </c>
      <c r="U10" s="214"/>
      <c r="V10" s="214"/>
      <c r="W10" s="214"/>
      <c r="X10" s="214"/>
      <c r="Y10" s="214"/>
      <c r="Z10" s="214"/>
      <c r="AA10" s="214"/>
      <c r="AB10" s="214"/>
      <c r="AC10" s="214"/>
      <c r="AD10" s="214"/>
      <c r="AE10" s="214"/>
      <c r="AF10" s="534"/>
      <c r="AG10" s="214"/>
      <c r="AH10" s="214"/>
      <c r="AI10" s="214"/>
      <c r="AJ10" s="214"/>
      <c r="AK10" s="214"/>
      <c r="AL10" s="214"/>
      <c r="AM10" s="214"/>
      <c r="AN10" s="214"/>
      <c r="AO10" s="214"/>
      <c r="AP10" s="214"/>
      <c r="AQ10" s="534"/>
      <c r="AR10" s="214"/>
      <c r="AS10" s="699"/>
      <c r="AU10" s="129"/>
      <c r="AV10" s="129" t="str">
        <f t="shared" ref="AV10:AV54" si="42">IF(T10="","",T10)</f>
        <v xml:space="preserve">Добавить группу потребителей</v>
      </c>
      <c r="AW10" s="129"/>
      <c r="AX10" s="129"/>
      <c r="AY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487</v>
      </c>
      <c r="U11" s="214"/>
      <c r="V11" s="214"/>
      <c r="W11" s="214"/>
      <c r="X11" s="214"/>
      <c r="Y11" s="214"/>
      <c r="Z11" s="214"/>
      <c r="AA11" s="214"/>
      <c r="AB11" s="214"/>
      <c r="AC11" s="214"/>
      <c r="AD11" s="214"/>
      <c r="AE11" s="214"/>
      <c r="AF11" s="534"/>
      <c r="AG11" s="214"/>
      <c r="AH11" s="214"/>
      <c r="AI11" s="214"/>
      <c r="AJ11" s="214"/>
      <c r="AK11" s="214"/>
      <c r="AL11" s="214"/>
      <c r="AM11" s="214"/>
      <c r="AN11" s="214"/>
      <c r="AO11" s="214"/>
      <c r="AP11" s="214"/>
      <c r="AQ11" s="534"/>
      <c r="AR11" s="214"/>
      <c r="AS11" s="535"/>
      <c r="AU11" s="129"/>
      <c r="AV11" s="129" t="str">
        <f t="shared" si="42"/>
        <v xml:space="preserve">Добавить наименование признака дифференциации</v>
      </c>
      <c r="AW11" s="129"/>
      <c r="AX11" s="129"/>
      <c r="AY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238</v>
      </c>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U12" s="129"/>
      <c r="AV12" s="129" t="str">
        <f t="shared" si="42"/>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239</v>
      </c>
      <c r="U13" s="545"/>
      <c r="V13" s="545"/>
      <c r="W13" s="545"/>
      <c r="X13" s="545"/>
      <c r="Y13" s="545"/>
      <c r="Z13" s="545"/>
      <c r="AA13" s="545"/>
      <c r="AB13" s="545"/>
      <c r="AC13" s="545"/>
      <c r="AD13" s="545"/>
      <c r="AE13" s="545"/>
      <c r="AF13" s="545"/>
      <c r="AG13" s="545"/>
      <c r="AH13" s="545"/>
      <c r="AI13" s="545"/>
      <c r="AJ13" s="545"/>
      <c r="AK13" s="545"/>
      <c r="AL13" s="545"/>
      <c r="AM13" s="545"/>
      <c r="AN13" s="545"/>
      <c r="AO13" s="545"/>
      <c r="AP13" s="545"/>
      <c r="AQ13" s="545"/>
      <c r="AR13" s="545"/>
      <c r="AS13" s="545"/>
      <c r="AU13" s="129"/>
      <c r="AV13" s="129" t="str">
        <f t="shared" si="42"/>
        <v xml:space="preserve">Добавить территорию для дифференциации</v>
      </c>
      <c r="AW13" s="129"/>
      <c r="AX13" s="129"/>
      <c r="AY13" s="57">
        <v>0</v>
      </c>
    </row>
    <row r="14" ht="14.25" hidden="1" customHeight="1">
      <c r="AF14" s="50"/>
      <c r="AQ14" s="50"/>
      <c r="AY14" s="50">
        <v>0</v>
      </c>
    </row>
    <row r="15" ht="14.25" hidden="1" customHeight="1">
      <c r="AG15" s="547"/>
      <c r="AH15" s="547"/>
      <c r="AI15" s="547"/>
      <c r="AJ15" s="547"/>
      <c r="AK15" s="547"/>
      <c r="AL15" s="547"/>
      <c r="AM15" s="547"/>
      <c r="AN15" s="549"/>
      <c r="AO15" s="550" t="s">
        <v>66</v>
      </c>
      <c r="AP15" s="549"/>
      <c r="AQ15" s="550" t="s">
        <v>66</v>
      </c>
      <c r="AY15" s="50">
        <v>0</v>
      </c>
    </row>
    <row r="16" ht="14.25" hidden="1" customHeight="1">
      <c r="AG16" s="547"/>
      <c r="AH16" s="547"/>
      <c r="AI16" s="547"/>
      <c r="AJ16" s="547"/>
      <c r="AK16" s="547"/>
      <c r="AL16" s="547"/>
      <c r="AM16" s="547"/>
      <c r="AN16" s="550"/>
      <c r="AO16" s="550"/>
      <c r="AP16" s="550"/>
      <c r="AQ16" s="550"/>
      <c r="AY16" s="50">
        <v>0</v>
      </c>
    </row>
    <row r="17" ht="14.25" hidden="1" customHeight="1">
      <c r="AQ17" s="50"/>
      <c r="AY17" s="50">
        <v>0</v>
      </c>
    </row>
    <row r="18" s="53" customFormat="1" ht="22.5" hidden="1" customHeight="1">
      <c r="L18" s="113"/>
      <c r="M18" s="61"/>
      <c r="N18" s="61"/>
      <c r="O18" s="551" t="s">
        <v>417</v>
      </c>
      <c r="P18" s="61"/>
      <c r="Q18" s="552"/>
      <c r="R18" s="552"/>
      <c r="S18" s="496"/>
      <c r="W18" s="53"/>
      <c r="X18" s="53"/>
      <c r="Y18" s="53"/>
      <c r="Z18" s="53"/>
      <c r="AA18" s="53"/>
      <c r="AB18" s="53"/>
      <c r="AC18" s="551"/>
      <c r="AE18" s="551"/>
      <c r="AF18" s="53"/>
      <c r="AH18" s="53"/>
      <c r="AI18" s="53"/>
      <c r="AJ18" s="53"/>
      <c r="AK18" s="53"/>
      <c r="AL18" s="53"/>
      <c r="AN18" s="551"/>
      <c r="AP18" s="551"/>
      <c r="AQ18" s="53"/>
      <c r="AT18" s="57"/>
      <c r="AU18" s="57"/>
      <c r="AV18" s="57"/>
      <c r="AW18" s="57"/>
      <c r="AX18" s="57"/>
      <c r="AY18" s="53">
        <v>0</v>
      </c>
    </row>
    <row r="19" s="53" customFormat="1" ht="14.25" hidden="1" customHeight="1">
      <c r="L19" s="113"/>
      <c r="M19" s="61"/>
      <c r="N19" s="61"/>
      <c r="O19" s="61"/>
      <c r="P19" s="61"/>
      <c r="Q19" s="552"/>
      <c r="R19" s="552"/>
      <c r="S19" s="496"/>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3"/>
      <c r="M20" s="61"/>
      <c r="N20" s="61"/>
      <c r="O20" s="495" t="s">
        <v>418</v>
      </c>
      <c r="P20" s="61"/>
      <c r="Q20" s="701"/>
      <c r="R20" s="701"/>
      <c r="S20" s="496"/>
      <c r="T20" s="53" t="s">
        <v>419</v>
      </c>
      <c r="W20" s="53"/>
      <c r="X20" s="53"/>
      <c r="Y20" s="53"/>
      <c r="Z20" s="53"/>
      <c r="AA20" s="53"/>
      <c r="AB20" s="53"/>
      <c r="AD20" s="151" t="s">
        <v>420</v>
      </c>
      <c r="AF20" s="151" t="s">
        <v>421</v>
      </c>
      <c r="AG20" s="53" t="s">
        <v>419</v>
      </c>
      <c r="AH20" s="53"/>
      <c r="AI20" s="53"/>
      <c r="AJ20" s="53"/>
      <c r="AK20" s="53"/>
      <c r="AL20" s="53"/>
      <c r="AO20" s="151" t="s">
        <v>422</v>
      </c>
      <c r="AQ20" s="151" t="s">
        <v>421</v>
      </c>
      <c r="AY20" s="53">
        <v>0</v>
      </c>
    </row>
    <row r="21" ht="14.25" hidden="1" customHeight="1">
      <c r="O21" s="495"/>
      <c r="AY21" s="50">
        <v>0</v>
      </c>
    </row>
    <row r="22" ht="14.25" hidden="1" customHeight="1">
      <c r="O22" s="495"/>
      <c r="AY22" s="50">
        <v>0</v>
      </c>
    </row>
    <row r="23" ht="14.65" customHeight="1">
      <c r="Q23" s="553"/>
      <c r="R23" s="553"/>
      <c r="S23" s="554"/>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3"/>
      <c r="R24" s="553"/>
      <c r="S24" s="466"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6"/>
      <c r="U24" s="466"/>
      <c r="V24" s="466"/>
      <c r="W24" s="466"/>
      <c r="X24" s="466"/>
      <c r="Y24" s="466"/>
      <c r="Z24" s="466"/>
      <c r="AA24" s="466"/>
      <c r="AB24" s="466"/>
      <c r="AC24" s="466"/>
      <c r="AD24" s="466"/>
      <c r="AE24" s="466"/>
      <c r="AF24" s="466"/>
      <c r="AG24" s="466"/>
      <c r="AH24" s="466"/>
      <c r="AI24" s="466"/>
      <c r="AJ24" s="466"/>
      <c r="AK24" s="466"/>
      <c r="AL24" s="466"/>
      <c r="AM24" s="466"/>
      <c r="AN24" s="466"/>
      <c r="AO24" s="466"/>
      <c r="AP24" s="466"/>
      <c r="AQ24" s="240"/>
      <c r="AY24" s="50">
        <v>25</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320"/>
      <c r="AJ25" s="320"/>
      <c r="AK25" s="320"/>
      <c r="AL25" s="320"/>
      <c r="AM25" s="320"/>
      <c r="AN25" s="320"/>
      <c r="AO25" s="320"/>
      <c r="AP25" s="320"/>
      <c r="AQ25" s="240"/>
      <c r="AY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55"/>
      <c r="AK26" s="555"/>
      <c r="AL26" s="555"/>
      <c r="AM26" s="555"/>
      <c r="AN26" s="555"/>
      <c r="AO26" s="555"/>
      <c r="AP26" s="555"/>
      <c r="AQ26" s="555"/>
      <c r="AR26" s="50"/>
      <c r="AY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58"/>
      <c r="AC27" s="558"/>
      <c r="AD27" s="558"/>
      <c r="AE27" s="558"/>
      <c r="AF27" s="50"/>
      <c r="AG27" s="558" t="str">
        <f>IF(TITLE_NAME_OR_PR_CHANGE="",IF(TITLE_NAME_OR_PR="","",TITLE_NAME_OR_PR),TITLE_NAME_OR_PR_CHANGE)</f>
        <v/>
      </c>
      <c r="AH27" s="558"/>
      <c r="AI27" s="558"/>
      <c r="AJ27" s="558"/>
      <c r="AK27" s="558"/>
      <c r="AL27" s="558"/>
      <c r="AM27" s="558"/>
      <c r="AN27" s="558"/>
      <c r="AO27" s="558"/>
      <c r="AP27" s="558"/>
      <c r="AQ27" s="50"/>
      <c r="AR27" s="50"/>
      <c r="AS27" s="559"/>
      <c r="AT27" s="129"/>
      <c r="AU27" s="129"/>
      <c r="AV27" s="129"/>
      <c r="AW27" s="129"/>
      <c r="AX27" s="129"/>
      <c r="AY27" s="184">
        <v>0</v>
      </c>
    </row>
    <row r="28" s="184" customFormat="1" ht="18.75" hidden="1" customHeight="1">
      <c r="A28" s="151"/>
      <c r="B28" s="151"/>
      <c r="C28" s="151"/>
      <c r="D28" s="151"/>
      <c r="E28" s="151"/>
      <c r="F28" s="151"/>
      <c r="G28" s="151"/>
      <c r="H28" s="151"/>
      <c r="I28" s="151"/>
      <c r="J28" s="151"/>
      <c r="K28" s="151"/>
      <c r="L28" s="495"/>
      <c r="M28" s="151"/>
      <c r="N28" s="151"/>
      <c r="O28" s="151"/>
      <c r="S28" s="556" t="s">
        <v>423</v>
      </c>
      <c r="T28" s="556"/>
      <c r="U28" s="557"/>
      <c r="V28" s="560" t="str">
        <f>IF(TITLE_DATE_PR_CHANGE="",IF(TITLE_DATE_PR="","",TITLE_DATE_PR),TITLE_DATE_PR_CHANGE)</f>
        <v>45406</v>
      </c>
      <c r="W28" s="560"/>
      <c r="X28" s="560"/>
      <c r="Y28" s="560"/>
      <c r="Z28" s="560"/>
      <c r="AA28" s="560"/>
      <c r="AB28" s="560"/>
      <c r="AC28" s="560"/>
      <c r="AD28" s="560"/>
      <c r="AE28" s="560"/>
      <c r="AF28" s="50"/>
      <c r="AG28" s="560" t="str">
        <f>IF(TITLE_DATE_PR_CHANGE="",IF(TITLE_DATE_PR="","",TITLE_DATE_PR),TITLE_DATE_PR_CHANGE)</f>
        <v>45406</v>
      </c>
      <c r="AH28" s="560"/>
      <c r="AI28" s="560"/>
      <c r="AJ28" s="560"/>
      <c r="AK28" s="560"/>
      <c r="AL28" s="560"/>
      <c r="AM28" s="560"/>
      <c r="AN28" s="560"/>
      <c r="AO28" s="560"/>
      <c r="AP28" s="560"/>
      <c r="AQ28" s="50"/>
      <c r="AR28" s="50"/>
      <c r="AS28" s="559"/>
      <c r="AT28" s="129"/>
      <c r="AU28" s="129"/>
      <c r="AV28" s="129"/>
      <c r="AW28" s="129"/>
      <c r="AX28" s="129"/>
      <c r="AY28" s="184">
        <v>0</v>
      </c>
    </row>
    <row r="29" s="184" customFormat="1" ht="18.75" hidden="1" customHeight="1">
      <c r="A29" s="151"/>
      <c r="B29" s="151"/>
      <c r="C29" s="151"/>
      <c r="D29" s="151"/>
      <c r="E29" s="151"/>
      <c r="F29" s="151"/>
      <c r="G29" s="151"/>
      <c r="H29" s="151"/>
      <c r="I29" s="151"/>
      <c r="J29" s="151"/>
      <c r="K29" s="151"/>
      <c r="L29" s="495"/>
      <c r="M29" s="151"/>
      <c r="N29" s="151"/>
      <c r="O29" s="151"/>
      <c r="S29" s="556" t="s">
        <v>424</v>
      </c>
      <c r="T29" s="556"/>
      <c r="U29" s="557"/>
      <c r="V29" s="558" t="str">
        <f>IF(TITLE_NUMBER_PR_CHANGE="",IF(TITLE_NUMBER_PR="","",TITLE_NUMBER_PR),TITLE_NUMBER_PR_CHANGE)</f>
        <v>ПГ/01/950</v>
      </c>
      <c r="W29" s="558"/>
      <c r="X29" s="558"/>
      <c r="Y29" s="558"/>
      <c r="Z29" s="558"/>
      <c r="AA29" s="558"/>
      <c r="AB29" s="558"/>
      <c r="AC29" s="558"/>
      <c r="AD29" s="558"/>
      <c r="AE29" s="558"/>
      <c r="AF29" s="50"/>
      <c r="AG29" s="558" t="str">
        <f>IF(TITLE_NUMBER_PR_CHANGE="",IF(TITLE_NUMBER_PR="","",TITLE_NUMBER_PR),TITLE_NUMBER_PR_CHANGE)</f>
        <v>ПГ/01/950</v>
      </c>
      <c r="AH29" s="558"/>
      <c r="AI29" s="558"/>
      <c r="AJ29" s="558"/>
      <c r="AK29" s="558"/>
      <c r="AL29" s="558"/>
      <c r="AM29" s="558"/>
      <c r="AN29" s="558"/>
      <c r="AO29" s="558"/>
      <c r="AP29" s="558"/>
      <c r="AQ29" s="50"/>
      <c r="AR29" s="50"/>
      <c r="AS29" s="559"/>
      <c r="AT29" s="129"/>
      <c r="AU29" s="129"/>
      <c r="AV29" s="129"/>
      <c r="AW29" s="129"/>
      <c r="AX29" s="129"/>
      <c r="AY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58"/>
      <c r="AC30" s="558"/>
      <c r="AD30" s="558"/>
      <c r="AE30" s="558"/>
      <c r="AF30" s="50"/>
      <c r="AG30" s="558" t="str">
        <f>IF(TITLE_IST_PUB_CHANGE="",IF(TITLE_IST_PUB="","",TITLE_IST_PUB),TITLE_IST_PUB_CHANGE)</f>
        <v/>
      </c>
      <c r="AH30" s="558"/>
      <c r="AI30" s="558"/>
      <c r="AJ30" s="558"/>
      <c r="AK30" s="558"/>
      <c r="AL30" s="558"/>
      <c r="AM30" s="558"/>
      <c r="AN30" s="558"/>
      <c r="AO30" s="558"/>
      <c r="AP30" s="558"/>
      <c r="AQ30" s="50"/>
      <c r="AR30" s="50"/>
      <c r="AS30" s="559"/>
      <c r="AT30" s="129"/>
      <c r="AU30" s="129"/>
      <c r="AV30" s="129"/>
      <c r="AW30" s="129"/>
      <c r="AX30" s="129"/>
      <c r="AY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55"/>
      <c r="AK31" s="555"/>
      <c r="AL31" s="555"/>
      <c r="AM31" s="555"/>
      <c r="AN31" s="555"/>
      <c r="AO31" s="555"/>
      <c r="AP31" s="555"/>
      <c r="AQ31" s="555"/>
      <c r="AR31" s="50"/>
      <c r="AY31" s="50">
        <v>0</v>
      </c>
    </row>
    <row r="32" s="184" customFormat="1" ht="18.75" customHeight="1">
      <c r="A32" s="151"/>
      <c r="B32" s="151"/>
      <c r="C32" s="151"/>
      <c r="D32" s="151"/>
      <c r="E32" s="151"/>
      <c r="F32" s="151"/>
      <c r="G32" s="151"/>
      <c r="H32" s="151"/>
      <c r="I32" s="151"/>
      <c r="J32" s="151"/>
      <c r="K32" s="151"/>
      <c r="L32" s="495"/>
      <c r="M32" s="151"/>
      <c r="N32" s="151"/>
      <c r="O32" s="151"/>
      <c r="S32" s="556" t="s">
        <v>425</v>
      </c>
      <c r="T32" s="556"/>
      <c r="U32" s="557"/>
      <c r="V32" s="560" t="str">
        <f>IF(TITLE_DATE_PR_CHANGE="",IF(TITLE_DATE_PR="","",TITLE_DATE_PR),TITLE_DATE_PR_CHANGE)</f>
        <v>45406</v>
      </c>
      <c r="W32" s="560"/>
      <c r="X32" s="560"/>
      <c r="Y32" s="560"/>
      <c r="Z32" s="560"/>
      <c r="AA32" s="560"/>
      <c r="AB32" s="560"/>
      <c r="AC32" s="560"/>
      <c r="AD32" s="560"/>
      <c r="AE32" s="560"/>
      <c r="AF32" s="50"/>
      <c r="AG32" s="560" t="str">
        <f>IF(TITLE_DATE_PR_CHANGE="",IF(TITLE_DATE_PR="","",TITLE_DATE_PR),TITLE_DATE_PR_CHANGE)</f>
        <v>45406</v>
      </c>
      <c r="AH32" s="560"/>
      <c r="AI32" s="560"/>
      <c r="AJ32" s="560"/>
      <c r="AK32" s="560"/>
      <c r="AL32" s="560"/>
      <c r="AM32" s="560"/>
      <c r="AN32" s="560"/>
      <c r="AO32" s="560"/>
      <c r="AP32" s="560"/>
      <c r="AQ32" s="50"/>
      <c r="AR32" s="50"/>
      <c r="AS32" s="559"/>
      <c r="AT32" s="129"/>
      <c r="AU32" s="129"/>
      <c r="AV32" s="129"/>
      <c r="AW32" s="129"/>
      <c r="AX32" s="129"/>
      <c r="AY32" s="184">
        <v>0</v>
      </c>
    </row>
    <row r="33" s="184" customFormat="1" ht="18.75" customHeight="1">
      <c r="A33" s="151"/>
      <c r="B33" s="151"/>
      <c r="C33" s="151"/>
      <c r="D33" s="151"/>
      <c r="E33" s="151"/>
      <c r="F33" s="151"/>
      <c r="G33" s="151"/>
      <c r="H33" s="151"/>
      <c r="I33" s="151"/>
      <c r="J33" s="151"/>
      <c r="K33" s="151"/>
      <c r="L33" s="495"/>
      <c r="M33" s="151"/>
      <c r="N33" s="151"/>
      <c r="O33" s="151"/>
      <c r="S33" s="556" t="s">
        <v>426</v>
      </c>
      <c r="T33" s="556"/>
      <c r="U33" s="557"/>
      <c r="V33" s="558" t="str">
        <f>IF(TITLE_NUMBER_PR_CHANGE="",IF(TITLE_NUMBER_PR="","",TITLE_NUMBER_PR),TITLE_NUMBER_PR_CHANGE)</f>
        <v>ПГ/01/950</v>
      </c>
      <c r="W33" s="558"/>
      <c r="X33" s="558"/>
      <c r="Y33" s="558"/>
      <c r="Z33" s="558"/>
      <c r="AA33" s="558"/>
      <c r="AB33" s="558"/>
      <c r="AC33" s="558"/>
      <c r="AD33" s="558"/>
      <c r="AE33" s="558"/>
      <c r="AF33" s="50"/>
      <c r="AG33" s="558" t="str">
        <f>IF(TITLE_NUMBER_PR_CHANGE="",IF(TITLE_NUMBER_PR="","",TITLE_NUMBER_PR),TITLE_NUMBER_PR_CHANGE)</f>
        <v>ПГ/01/950</v>
      </c>
      <c r="AH33" s="558"/>
      <c r="AI33" s="558"/>
      <c r="AJ33" s="558"/>
      <c r="AK33" s="558"/>
      <c r="AL33" s="558"/>
      <c r="AM33" s="558"/>
      <c r="AN33" s="558"/>
      <c r="AO33" s="558"/>
      <c r="AP33" s="558"/>
      <c r="AQ33" s="50"/>
      <c r="AR33" s="50"/>
      <c r="AS33" s="559"/>
      <c r="AT33" s="129"/>
      <c r="AU33" s="129"/>
      <c r="AV33" s="129"/>
      <c r="AW33" s="129"/>
      <c r="AX33" s="129"/>
      <c r="AY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0"/>
      <c r="AC34" s="50"/>
      <c r="AD34" s="50"/>
      <c r="AE34" s="50"/>
      <c r="AF34" s="57" t="s">
        <v>427</v>
      </c>
      <c r="AG34" s="50"/>
      <c r="AH34" s="50"/>
      <c r="AI34" s="50"/>
      <c r="AJ34" s="50"/>
      <c r="AK34" s="50"/>
      <c r="AL34" s="50"/>
      <c r="AM34" s="50"/>
      <c r="AN34" s="50"/>
      <c r="AO34" s="50"/>
      <c r="AP34" s="50"/>
      <c r="AQ34" s="57" t="s">
        <v>427</v>
      </c>
      <c r="AT34" s="129"/>
      <c r="AU34" s="129"/>
      <c r="AV34" s="129"/>
      <c r="AW34" s="129"/>
      <c r="AX34" s="129"/>
      <c r="AY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J35" s="562"/>
      <c r="AK35" s="562"/>
      <c r="AL35" s="562"/>
      <c r="AM35" s="562"/>
      <c r="AN35" s="562"/>
      <c r="AO35" s="562"/>
      <c r="AP35" s="562"/>
      <c r="AQ35" s="562"/>
      <c r="AY35" s="50">
        <v>14</v>
      </c>
    </row>
    <row r="36" ht="14.65" customHeight="1">
      <c r="Q36" s="553"/>
      <c r="R36" s="553"/>
      <c r="S36" s="157" t="s">
        <v>302</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303</v>
      </c>
      <c r="AY36" s="50">
        <v>14</v>
      </c>
    </row>
    <row r="37" ht="14.65" customHeight="1">
      <c r="Q37" s="553"/>
      <c r="R37" s="553"/>
      <c r="S37" s="498" t="s">
        <v>88</v>
      </c>
      <c r="T37" s="362" t="s">
        <v>428</v>
      </c>
      <c r="U37" s="563"/>
      <c r="V37" s="564" t="s">
        <v>429</v>
      </c>
      <c r="W37" s="598"/>
      <c r="X37" s="598"/>
      <c r="Y37" s="598"/>
      <c r="Z37" s="598"/>
      <c r="AA37" s="598"/>
      <c r="AB37" s="598"/>
      <c r="AC37" s="565"/>
      <c r="AD37" s="565"/>
      <c r="AE37" s="566"/>
      <c r="AF37" s="567" t="s">
        <v>430</v>
      </c>
      <c r="AG37" s="564" t="s">
        <v>429</v>
      </c>
      <c r="AH37" s="565"/>
      <c r="AI37" s="565"/>
      <c r="AJ37" s="565"/>
      <c r="AK37" s="565"/>
      <c r="AL37" s="565"/>
      <c r="AM37" s="565"/>
      <c r="AN37" s="565"/>
      <c r="AO37" s="565"/>
      <c r="AP37" s="566"/>
      <c r="AQ37" s="567" t="s">
        <v>431</v>
      </c>
      <c r="AR37" s="568" t="s">
        <v>432</v>
      </c>
      <c r="AS37" s="157"/>
      <c r="AY37" s="50">
        <v>14</v>
      </c>
    </row>
    <row r="38" ht="19.949999999999999" customHeight="1">
      <c r="Q38" s="553"/>
      <c r="R38" s="553"/>
      <c r="S38" s="498"/>
      <c r="T38" s="362"/>
      <c r="U38" s="569"/>
      <c r="V38" s="157" t="s">
        <v>534</v>
      </c>
      <c r="W38" s="761" t="s">
        <v>535</v>
      </c>
      <c r="X38" s="761"/>
      <c r="Y38" s="761"/>
      <c r="Z38" s="761" t="s">
        <v>536</v>
      </c>
      <c r="AA38" s="761"/>
      <c r="AB38" s="761"/>
      <c r="AC38" s="321" t="s">
        <v>436</v>
      </c>
      <c r="AD38" s="640"/>
      <c r="AE38" s="322"/>
      <c r="AF38" s="571"/>
      <c r="AG38" s="157" t="s">
        <v>534</v>
      </c>
      <c r="AH38" s="761" t="s">
        <v>535</v>
      </c>
      <c r="AI38" s="761"/>
      <c r="AJ38" s="761"/>
      <c r="AK38" s="761" t="s">
        <v>536</v>
      </c>
      <c r="AL38" s="761"/>
      <c r="AM38" s="761"/>
      <c r="AN38" s="321" t="s">
        <v>436</v>
      </c>
      <c r="AO38" s="640"/>
      <c r="AP38" s="322"/>
      <c r="AQ38" s="571"/>
      <c r="AR38" s="572"/>
      <c r="AS38" s="157"/>
      <c r="AY38" s="50">
        <v>19</v>
      </c>
    </row>
    <row r="39" s="50" customFormat="1" ht="19.949999999999999" customHeight="1">
      <c r="A39" s="53"/>
      <c r="B39" s="53"/>
      <c r="C39" s="53"/>
      <c r="D39" s="53"/>
      <c r="E39" s="53"/>
      <c r="F39" s="53"/>
      <c r="G39" s="53"/>
      <c r="H39" s="53"/>
      <c r="I39" s="53"/>
      <c r="J39" s="53"/>
      <c r="K39" s="53"/>
      <c r="L39" s="113"/>
      <c r="M39" s="61"/>
      <c r="N39" s="61"/>
      <c r="O39" s="61"/>
      <c r="P39" s="60"/>
      <c r="Q39" s="553"/>
      <c r="R39" s="553"/>
      <c r="S39" s="498"/>
      <c r="T39" s="362"/>
      <c r="U39" s="569"/>
      <c r="V39" s="157"/>
      <c r="W39" s="761" t="s">
        <v>537</v>
      </c>
      <c r="X39" s="761" t="s">
        <v>538</v>
      </c>
      <c r="Y39" s="761"/>
      <c r="Z39" s="761" t="s">
        <v>539</v>
      </c>
      <c r="AA39" s="761" t="s">
        <v>538</v>
      </c>
      <c r="AB39" s="761"/>
      <c r="AC39" s="327"/>
      <c r="AD39" s="641"/>
      <c r="AE39" s="328"/>
      <c r="AF39" s="571"/>
      <c r="AG39" s="157"/>
      <c r="AH39" s="761" t="s">
        <v>537</v>
      </c>
      <c r="AI39" s="761" t="s">
        <v>538</v>
      </c>
      <c r="AJ39" s="761"/>
      <c r="AK39" s="761" t="s">
        <v>539</v>
      </c>
      <c r="AL39" s="761" t="s">
        <v>538</v>
      </c>
      <c r="AM39" s="761"/>
      <c r="AN39" s="327"/>
      <c r="AO39" s="641"/>
      <c r="AP39" s="328"/>
      <c r="AQ39" s="571"/>
      <c r="AR39" s="572"/>
      <c r="AS39" s="157"/>
      <c r="AT39" s="57"/>
      <c r="AU39" s="57"/>
      <c r="AV39" s="57"/>
      <c r="AW39" s="57"/>
      <c r="AX39" s="57"/>
      <c r="AY39" s="50">
        <v>19</v>
      </c>
    </row>
    <row r="40" ht="61.950000000000003" customHeight="1">
      <c r="A40" s="151"/>
      <c r="B40" s="151" t="s">
        <v>135</v>
      </c>
      <c r="C40" s="151" t="s">
        <v>136</v>
      </c>
      <c r="D40" s="151" t="s">
        <v>137</v>
      </c>
      <c r="E40" s="495" t="s">
        <v>437</v>
      </c>
      <c r="F40" s="495" t="s">
        <v>438</v>
      </c>
      <c r="G40" s="495" t="s">
        <v>439</v>
      </c>
      <c r="H40" s="495"/>
      <c r="I40" s="495" t="s">
        <v>489</v>
      </c>
      <c r="J40" s="495" t="s">
        <v>442</v>
      </c>
      <c r="K40" s="495" t="s">
        <v>490</v>
      </c>
      <c r="L40" s="495" t="s">
        <v>418</v>
      </c>
      <c r="Q40" s="553"/>
      <c r="R40" s="553"/>
      <c r="S40" s="498"/>
      <c r="T40" s="362"/>
      <c r="U40" s="573"/>
      <c r="V40" s="157"/>
      <c r="W40" s="761"/>
      <c r="X40" s="761" t="s">
        <v>540</v>
      </c>
      <c r="Y40" s="761" t="s">
        <v>541</v>
      </c>
      <c r="Z40" s="761"/>
      <c r="AA40" s="761" t="s">
        <v>542</v>
      </c>
      <c r="AB40" s="761" t="s">
        <v>543</v>
      </c>
      <c r="AC40" s="246" t="s">
        <v>446</v>
      </c>
      <c r="AD40" s="429" t="s">
        <v>447</v>
      </c>
      <c r="AE40" s="431"/>
      <c r="AF40" s="575"/>
      <c r="AG40" s="157"/>
      <c r="AH40" s="761"/>
      <c r="AI40" s="761" t="s">
        <v>540</v>
      </c>
      <c r="AJ40" s="761" t="s">
        <v>541</v>
      </c>
      <c r="AK40" s="761"/>
      <c r="AL40" s="761" t="s">
        <v>542</v>
      </c>
      <c r="AM40" s="761" t="s">
        <v>543</v>
      </c>
      <c r="AN40" s="246" t="s">
        <v>446</v>
      </c>
      <c r="AO40" s="429" t="s">
        <v>447</v>
      </c>
      <c r="AP40" s="431"/>
      <c r="AQ40" s="575"/>
      <c r="AR40" s="576"/>
      <c r="AS40" s="157"/>
      <c r="AY40" s="50">
        <v>59</v>
      </c>
    </row>
    <row r="41" s="131" customFormat="1" ht="11.25" hidden="1" customHeight="1">
      <c r="A41" s="151"/>
      <c r="B41" s="151"/>
      <c r="C41" s="151"/>
      <c r="D41" s="151"/>
      <c r="E41" s="151"/>
      <c r="F41" s="151"/>
      <c r="G41" s="151"/>
      <c r="H41" s="151"/>
      <c r="I41" s="151"/>
      <c r="J41" s="151"/>
      <c r="K41" s="151"/>
      <c r="L41" s="495"/>
      <c r="M41" s="61"/>
      <c r="N41" s="61"/>
      <c r="O41" s="61"/>
      <c r="P41" s="577"/>
      <c r="Q41" s="578"/>
      <c r="R41" s="579">
        <v>1</v>
      </c>
      <c r="S41" s="580" t="s">
        <v>109</v>
      </c>
      <c r="T41" s="581" t="s">
        <v>110</v>
      </c>
      <c r="U41" s="582" t="str">
        <f ca="1">OFFSET(U41,0,-1)</f>
        <v>2</v>
      </c>
      <c r="V41" s="583">
        <f ca="1">OFFSET(V41,0,-1)+1</f>
        <v>3</v>
      </c>
      <c r="W41" s="440"/>
      <c r="X41" s="440"/>
      <c r="Y41" s="440"/>
      <c r="Z41" s="440"/>
      <c r="AA41" s="440"/>
      <c r="AB41" s="440"/>
      <c r="AC41" s="583">
        <f ca="1">OFFSET(AC41,0,-1)+1</f>
        <v>1</v>
      </c>
      <c r="AD41" s="583">
        <f ca="1">OFFSET(AD41,0,-1)+1</f>
        <v>2</v>
      </c>
      <c r="AE41" s="583"/>
      <c r="AF41" s="583">
        <f ca="1">OFFSET(AF41,0,-2)+1</f>
        <v>3</v>
      </c>
      <c r="AG41" s="583">
        <f ca="1">OFFSET(AG41,0,-1)+1</f>
        <v>4</v>
      </c>
      <c r="AH41" s="583"/>
      <c r="AI41" s="583"/>
      <c r="AJ41" s="583"/>
      <c r="AK41" s="583"/>
      <c r="AL41" s="583"/>
      <c r="AM41" s="583">
        <f ca="1">OFFSET(AM41,0,-1)+1</f>
        <v>1</v>
      </c>
      <c r="AN41" s="583">
        <f ca="1">OFFSET(AN41,0,-1)+1</f>
        <v>2</v>
      </c>
      <c r="AO41" s="583">
        <f ca="1">OFFSET(AO41,0,-1)+1</f>
        <v>3</v>
      </c>
      <c r="AP41" s="583"/>
      <c r="AQ41" s="583">
        <f ca="1">OFFSET(AQ41,0,-2)+1</f>
        <v>4</v>
      </c>
      <c r="AR41" s="582">
        <f ca="1">OFFSET(AR41,0,-1)</f>
        <v>4</v>
      </c>
      <c r="AS41" s="583">
        <f ca="1">OFFSET(AS41,0,-1)+1</f>
        <v>5</v>
      </c>
      <c r="AT41" s="57"/>
      <c r="AU41" s="57"/>
      <c r="AV41" s="57"/>
      <c r="AW41" s="57"/>
      <c r="AX41" s="57"/>
      <c r="AY41" s="131">
        <v>0</v>
      </c>
    </row>
    <row r="42" ht="24" customHeight="1">
      <c r="A42" s="493" t="s">
        <v>253</v>
      </c>
      <c r="B42" s="493"/>
      <c r="C42" s="493"/>
      <c r="D42" s="493"/>
      <c r="E42" s="494">
        <v>1</v>
      </c>
      <c r="F42" s="493"/>
      <c r="G42" s="493"/>
      <c r="H42" s="493"/>
      <c r="I42" s="493"/>
      <c r="J42" s="493"/>
      <c r="K42" s="493"/>
      <c r="L42" s="495"/>
      <c r="M42" s="496"/>
      <c r="N42" s="496"/>
      <c r="O42" s="496"/>
      <c r="P42" s="60"/>
      <c r="Q42" s="143"/>
      <c r="R42" s="497"/>
      <c r="S42" s="498">
        <f>INDEX(PT_DIFFERENTIATION_NUM_NTAR,MATCH(A42,PT_DIFFERENTIATION_NTAR_ID,0))</f>
        <v>0</v>
      </c>
      <c r="T42" s="499" t="s">
        <v>123</v>
      </c>
      <c r="U42" s="500"/>
      <c r="V42" s="501"/>
      <c r="W42" s="502"/>
      <c r="X42" s="502"/>
      <c r="Y42" s="502"/>
      <c r="Z42" s="502"/>
      <c r="AA42" s="502"/>
      <c r="AB42" s="502"/>
      <c r="AC42" s="502"/>
      <c r="AD42" s="502"/>
      <c r="AE42" s="502"/>
      <c r="AF42" s="503"/>
      <c r="AG42" s="501" t="str">
        <f>INDEX(PT_DIFFERENTIATION_NTAR,MATCH(A42,PT_DIFFERENTIATION_NTAR_ID,0))</f>
        <v/>
      </c>
      <c r="AH42" s="502"/>
      <c r="AI42" s="502"/>
      <c r="AJ42" s="502"/>
      <c r="AK42" s="502"/>
      <c r="AL42" s="502"/>
      <c r="AM42" s="502"/>
      <c r="AN42" s="502"/>
      <c r="AO42" s="502"/>
      <c r="AP42" s="502"/>
      <c r="AQ42" s="502"/>
      <c r="AR42" s="503"/>
      <c r="AS4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9"/>
      <c r="AV42" s="129" t="str">
        <f t="shared" si="42"/>
        <v xml:space="preserve">Наименование тарифа</v>
      </c>
      <c r="AW42" s="129"/>
      <c r="AX42" s="129"/>
      <c r="AY42" s="50">
        <v>23</v>
      </c>
    </row>
    <row r="43" ht="24" customHeight="1">
      <c r="A43" s="493" t="s">
        <v>253</v>
      </c>
      <c r="B43" s="493" t="s">
        <v>254</v>
      </c>
      <c r="C43" s="493"/>
      <c r="D43" s="493"/>
      <c r="E43" s="505"/>
      <c r="F43" s="494">
        <v>1</v>
      </c>
      <c r="G43" s="493"/>
      <c r="H43" s="493"/>
      <c r="I43" s="493"/>
      <c r="J43" s="493"/>
      <c r="K43" s="493"/>
      <c r="L43" s="495"/>
      <c r="M43" s="496"/>
      <c r="N43" s="496"/>
      <c r="O43" s="496"/>
      <c r="P43" s="51"/>
      <c r="Q43" s="506"/>
      <c r="R43" s="507"/>
      <c r="S43" s="498" t="str">
        <f>INDEX(PT_DIFFERENTIATION_NUM_TER,MATCH(B43,PT_DIFFERENTIATION_TER_ID,0))</f>
        <v>.</v>
      </c>
      <c r="T43" s="508" t="s">
        <v>399</v>
      </c>
      <c r="U43" s="500"/>
      <c r="V43" s="501"/>
      <c r="W43" s="502"/>
      <c r="X43" s="502"/>
      <c r="Y43" s="502"/>
      <c r="Z43" s="502"/>
      <c r="AA43" s="502"/>
      <c r="AB43" s="502"/>
      <c r="AC43" s="502"/>
      <c r="AD43" s="502"/>
      <c r="AE43" s="502"/>
      <c r="AF43" s="503"/>
      <c r="AG43" s="501" t="str">
        <f>INDEX(PT_DIFFERENTIATION_TER,MATCH(B43,PT_DIFFERENTIATION_TER_ID,0))</f>
        <v/>
      </c>
      <c r="AH43" s="502"/>
      <c r="AI43" s="502"/>
      <c r="AJ43" s="502"/>
      <c r="AK43" s="502"/>
      <c r="AL43" s="502"/>
      <c r="AM43" s="502"/>
      <c r="AN43" s="502"/>
      <c r="AO43" s="502"/>
      <c r="AP43" s="502"/>
      <c r="AQ43" s="502"/>
      <c r="AR43" s="503"/>
      <c r="AS43" s="504" t="s">
        <v>400</v>
      </c>
      <c r="AU43" s="129"/>
      <c r="AV43" s="129" t="str">
        <f t="shared" si="42"/>
        <v xml:space="preserve">Территория действия тарифа</v>
      </c>
      <c r="AW43" s="129"/>
      <c r="AX43" s="129"/>
      <c r="AY43" s="50">
        <v>23</v>
      </c>
    </row>
    <row r="44" ht="24" customHeight="1">
      <c r="A44" s="493" t="s">
        <v>253</v>
      </c>
      <c r="B44" s="493" t="s">
        <v>254</v>
      </c>
      <c r="C44" s="493" t="s">
        <v>255</v>
      </c>
      <c r="D44" s="493"/>
      <c r="E44" s="505"/>
      <c r="F44" s="505"/>
      <c r="G44" s="494">
        <v>1</v>
      </c>
      <c r="H44" s="493"/>
      <c r="I44" s="493"/>
      <c r="J44" s="493"/>
      <c r="K44" s="493"/>
      <c r="L44" s="495"/>
      <c r="M44" s="496"/>
      <c r="N44" s="496"/>
      <c r="O44" s="496"/>
      <c r="P44" s="509"/>
      <c r="Q44" s="506"/>
      <c r="R44" s="507"/>
      <c r="S44" s="498" t="str">
        <f>INDEX(PT_DIFFERENTIATION_NUM_CS,MATCH(C44,PT_DIFFERENTIATION_CS_ID,0))</f>
        <v>..</v>
      </c>
      <c r="T44" s="510" t="s">
        <v>532</v>
      </c>
      <c r="U44" s="500"/>
      <c r="V44" s="501"/>
      <c r="W44" s="502"/>
      <c r="X44" s="502"/>
      <c r="Y44" s="502"/>
      <c r="Z44" s="502"/>
      <c r="AA44" s="502"/>
      <c r="AB44" s="502"/>
      <c r="AC44" s="502"/>
      <c r="AD44" s="502"/>
      <c r="AE44" s="502"/>
      <c r="AF44" s="503"/>
      <c r="AG44" s="501" t="str">
        <f>INDEX(PT_DIFFERENTIATION_CS,MATCH(C44,PT_DIFFERENTIATION_CS_ID,0))</f>
        <v/>
      </c>
      <c r="AH44" s="502"/>
      <c r="AI44" s="502"/>
      <c r="AJ44" s="502"/>
      <c r="AK44" s="502"/>
      <c r="AL44" s="502"/>
      <c r="AM44" s="502"/>
      <c r="AN44" s="502"/>
      <c r="AO44" s="502"/>
      <c r="AP44" s="502"/>
      <c r="AQ44" s="502"/>
      <c r="AR44" s="503"/>
      <c r="AS44" s="504" t="s">
        <v>533</v>
      </c>
      <c r="AU44" s="129"/>
      <c r="AV44" s="129" t="str">
        <f t="shared" si="42"/>
        <v xml:space="preserve">Наименование централизованной системы горячего водоснабжения</v>
      </c>
      <c r="AW44" s="129"/>
      <c r="AX44" s="129"/>
      <c r="AY44" s="50">
        <v>23</v>
      </c>
    </row>
    <row r="45" ht="24" customHeight="1">
      <c r="A45" s="493" t="s">
        <v>253</v>
      </c>
      <c r="B45" s="493" t="s">
        <v>254</v>
      </c>
      <c r="C45" s="493" t="s">
        <v>255</v>
      </c>
      <c r="D45" s="493" t="s">
        <v>544</v>
      </c>
      <c r="E45" s="505"/>
      <c r="F45" s="505"/>
      <c r="G45" s="505"/>
      <c r="H45" s="505"/>
      <c r="I45" s="512" t="str">
        <f>S44&amp;".1"</f>
        <v>...1</v>
      </c>
      <c r="J45" s="493"/>
      <c r="K45" s="493"/>
      <c r="L45" s="495"/>
      <c r="P45" s="132">
        <v>1</v>
      </c>
      <c r="Q45" s="132"/>
      <c r="R45" s="513"/>
      <c r="S45" s="498" t="str">
        <f>$I45</f>
        <v>...1</v>
      </c>
      <c r="T45" s="514" t="s">
        <v>482</v>
      </c>
      <c r="U45" s="500"/>
      <c r="V45" s="689"/>
      <c r="W45" s="690"/>
      <c r="X45" s="690"/>
      <c r="Y45" s="690"/>
      <c r="Z45" s="690"/>
      <c r="AA45" s="690"/>
      <c r="AB45" s="690"/>
      <c r="AC45" s="690"/>
      <c r="AD45" s="690"/>
      <c r="AE45" s="690"/>
      <c r="AF45" s="691"/>
      <c r="AG45" s="692"/>
      <c r="AH45" s="693"/>
      <c r="AI45" s="693"/>
      <c r="AJ45" s="693"/>
      <c r="AK45" s="693"/>
      <c r="AL45" s="693"/>
      <c r="AM45" s="693"/>
      <c r="AN45" s="693"/>
      <c r="AO45" s="693"/>
      <c r="AP45" s="693"/>
      <c r="AQ45" s="693"/>
      <c r="AR45" s="694"/>
      <c r="AS45" s="504" t="s">
        <v>483</v>
      </c>
      <c r="AU45" s="129"/>
      <c r="AV45" s="129" t="str">
        <f t="shared" si="42"/>
        <v xml:space="preserve">Наименование признака дифференциации</v>
      </c>
      <c r="AW45" s="129"/>
      <c r="AX45" s="129"/>
      <c r="AY45" s="50">
        <v>23</v>
      </c>
    </row>
    <row r="46" ht="24" customHeight="1">
      <c r="A46" s="493" t="s">
        <v>253</v>
      </c>
      <c r="B46" s="493" t="s">
        <v>254</v>
      </c>
      <c r="C46" s="493" t="s">
        <v>255</v>
      </c>
      <c r="D46" s="493" t="s">
        <v>544</v>
      </c>
      <c r="E46" s="505"/>
      <c r="F46" s="505"/>
      <c r="G46" s="505"/>
      <c r="H46" s="505"/>
      <c r="I46" s="517"/>
      <c r="J46" s="512" t="str">
        <f>I45&amp;".1"</f>
        <v>...1.1</v>
      </c>
      <c r="K46" s="493"/>
      <c r="L46" s="495" t="s">
        <v>408</v>
      </c>
      <c r="P46" s="132"/>
      <c r="Q46" s="132">
        <v>1</v>
      </c>
      <c r="R46" s="518"/>
      <c r="S46" s="498" t="str">
        <f>$J46</f>
        <v>...1.1</v>
      </c>
      <c r="T46" s="519" t="s">
        <v>409</v>
      </c>
      <c r="U46" s="500"/>
      <c r="V46" s="445"/>
      <c r="W46" s="515"/>
      <c r="X46" s="515"/>
      <c r="Y46" s="515"/>
      <c r="Z46" s="515"/>
      <c r="AA46" s="515"/>
      <c r="AB46" s="515"/>
      <c r="AC46" s="515"/>
      <c r="AD46" s="515"/>
      <c r="AE46" s="515"/>
      <c r="AF46" s="516"/>
      <c r="AG46" s="445"/>
      <c r="AH46" s="515"/>
      <c r="AI46" s="515"/>
      <c r="AJ46" s="515"/>
      <c r="AK46" s="515"/>
      <c r="AL46" s="515"/>
      <c r="AM46" s="515"/>
      <c r="AN46" s="515"/>
      <c r="AO46" s="515"/>
      <c r="AP46" s="515"/>
      <c r="AQ46" s="515"/>
      <c r="AR46" s="516"/>
      <c r="AS46" s="631" t="s">
        <v>484</v>
      </c>
      <c r="AU46" s="129"/>
      <c r="AV46" s="129" t="str">
        <f t="shared" si="42"/>
        <v xml:space="preserve">Группа потребителей</v>
      </c>
      <c r="AW46" s="129"/>
      <c r="AX46" s="129"/>
      <c r="AY46" s="50">
        <v>23</v>
      </c>
    </row>
    <row r="47" ht="24" customHeight="1">
      <c r="A47" s="493" t="s">
        <v>253</v>
      </c>
      <c r="B47" s="493" t="s">
        <v>254</v>
      </c>
      <c r="C47" s="493" t="s">
        <v>255</v>
      </c>
      <c r="D47" s="493" t="s">
        <v>544</v>
      </c>
      <c r="E47" s="505"/>
      <c r="F47" s="505"/>
      <c r="G47" s="505"/>
      <c r="H47" s="505"/>
      <c r="I47" s="517"/>
      <c r="J47" s="517"/>
      <c r="K47" s="512" t="str">
        <f>J46&amp;".1"</f>
        <v>...1.1.1</v>
      </c>
      <c r="L47" s="495"/>
      <c r="P47" s="132"/>
      <c r="Q47" s="132"/>
      <c r="R47" s="518">
        <v>1</v>
      </c>
      <c r="S47" s="498" t="str">
        <f>$K47</f>
        <v>...1.1.1</v>
      </c>
      <c r="T47" s="695"/>
      <c r="U47" s="500"/>
      <c r="V47" s="521"/>
      <c r="W47" s="521"/>
      <c r="X47" s="521"/>
      <c r="Y47" s="521"/>
      <c r="Z47" s="521"/>
      <c r="AA47" s="521"/>
      <c r="AB47" s="521"/>
      <c r="AC47" s="549"/>
      <c r="AD47" s="550" t="s">
        <v>66</v>
      </c>
      <c r="AE47" s="549"/>
      <c r="AF47" s="550" t="s">
        <v>66</v>
      </c>
      <c r="AG47" s="521"/>
      <c r="AH47" s="521"/>
      <c r="AI47" s="521"/>
      <c r="AJ47" s="521"/>
      <c r="AK47" s="521"/>
      <c r="AL47" s="521"/>
      <c r="AM47" s="521"/>
      <c r="AN47" s="524"/>
      <c r="AO47" s="224" t="s">
        <v>66</v>
      </c>
      <c r="AP47" s="584"/>
      <c r="AQ47" s="224" t="s">
        <v>19</v>
      </c>
      <c r="AR47" s="696"/>
      <c r="AS4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2"/>
        <v/>
      </c>
      <c r="AW47" s="129"/>
      <c r="AX47" s="129"/>
      <c r="AY47" s="50">
        <v>23</v>
      </c>
    </row>
    <row r="48" ht="0" customHeight="1">
      <c r="A48" s="493" t="s">
        <v>253</v>
      </c>
      <c r="B48" s="493" t="s">
        <v>254</v>
      </c>
      <c r="C48" s="493" t="s">
        <v>255</v>
      </c>
      <c r="D48" s="493" t="s">
        <v>544</v>
      </c>
      <c r="E48" s="505"/>
      <c r="F48" s="505"/>
      <c r="G48" s="505"/>
      <c r="H48" s="505"/>
      <c r="I48" s="517"/>
      <c r="J48" s="517"/>
      <c r="K48" s="512"/>
      <c r="L48" s="495"/>
      <c r="P48" s="132"/>
      <c r="Q48" s="132"/>
      <c r="R48" s="518"/>
      <c r="S48" s="472"/>
      <c r="T48" s="500"/>
      <c r="U48" s="500"/>
      <c r="V48" s="547"/>
      <c r="W48" s="547"/>
      <c r="X48" s="547"/>
      <c r="Y48" s="547"/>
      <c r="Z48" s="547"/>
      <c r="AA48" s="547"/>
      <c r="AB48" s="547"/>
      <c r="AC48" s="550"/>
      <c r="AD48" s="550"/>
      <c r="AE48" s="550"/>
      <c r="AF48" s="550"/>
      <c r="AG48" s="522"/>
      <c r="AH48" s="522"/>
      <c r="AI48" s="522"/>
      <c r="AJ48" s="522"/>
      <c r="AK48" s="522"/>
      <c r="AL48" s="522"/>
      <c r="AM48" s="522"/>
      <c r="AN48" s="527"/>
      <c r="AO48" s="224"/>
      <c r="AP48" s="586"/>
      <c r="AQ48" s="224"/>
      <c r="AR48" s="698"/>
      <c r="AS48" s="697"/>
      <c r="AU48" s="129"/>
      <c r="AV48" s="129" t="str">
        <f t="shared" si="42"/>
        <v/>
      </c>
      <c r="AW48" s="129"/>
      <c r="AX48" s="129"/>
      <c r="AY48" s="50">
        <v>0</v>
      </c>
    </row>
    <row r="49" ht="21" customHeight="1">
      <c r="A49" s="493" t="s">
        <v>253</v>
      </c>
      <c r="B49" s="493" t="s">
        <v>254</v>
      </c>
      <c r="C49" s="493" t="s">
        <v>255</v>
      </c>
      <c r="D49" s="493" t="s">
        <v>544</v>
      </c>
      <c r="E49" s="505"/>
      <c r="F49" s="505"/>
      <c r="G49" s="505"/>
      <c r="H49" s="505"/>
      <c r="I49" s="517"/>
      <c r="J49" s="512"/>
      <c r="K49" s="493"/>
      <c r="L49" s="495"/>
      <c r="P49" s="132"/>
      <c r="Q49" s="132"/>
      <c r="R49" s="513"/>
      <c r="S49" s="529"/>
      <c r="T49" s="533" t="s">
        <v>485</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504" t="s">
        <v>486</v>
      </c>
      <c r="AU49" s="129"/>
      <c r="AV49" s="129" t="str">
        <f t="shared" si="42"/>
        <v xml:space="preserve">Добавить значение признака дифференциации</v>
      </c>
      <c r="AW49" s="129"/>
      <c r="AX49" s="129"/>
      <c r="AY49" s="50">
        <v>20</v>
      </c>
    </row>
    <row r="50" ht="22" customHeight="1">
      <c r="A50" s="493" t="s">
        <v>253</v>
      </c>
      <c r="B50" s="493" t="s">
        <v>254</v>
      </c>
      <c r="C50" s="493" t="s">
        <v>255</v>
      </c>
      <c r="D50" s="493" t="s">
        <v>544</v>
      </c>
      <c r="E50" s="505"/>
      <c r="F50" s="505"/>
      <c r="G50" s="505"/>
      <c r="H50" s="505"/>
      <c r="I50" s="512"/>
      <c r="J50" s="493"/>
      <c r="K50" s="493"/>
      <c r="L50" s="495"/>
      <c r="P50" s="132"/>
      <c r="Q50" s="132"/>
      <c r="R50" s="513"/>
      <c r="S50" s="529"/>
      <c r="T50" s="537" t="s">
        <v>414</v>
      </c>
      <c r="U50" s="214"/>
      <c r="V50" s="214"/>
      <c r="W50" s="214"/>
      <c r="X50" s="214"/>
      <c r="Y50" s="214"/>
      <c r="Z50" s="214"/>
      <c r="AA50" s="214"/>
      <c r="AB50" s="214"/>
      <c r="AC50" s="214"/>
      <c r="AD50" s="214"/>
      <c r="AE50" s="214"/>
      <c r="AF50" s="534"/>
      <c r="AG50" s="214"/>
      <c r="AH50" s="214"/>
      <c r="AI50" s="214"/>
      <c r="AJ50" s="214"/>
      <c r="AK50" s="214"/>
      <c r="AL50" s="214"/>
      <c r="AM50" s="214"/>
      <c r="AN50" s="214"/>
      <c r="AO50" s="214"/>
      <c r="AP50" s="214"/>
      <c r="AQ50" s="534"/>
      <c r="AR50" s="214"/>
      <c r="AS50" s="699"/>
      <c r="AU50" s="129"/>
      <c r="AV50" s="129" t="str">
        <f t="shared" si="42"/>
        <v xml:space="preserve">Добавить группу потребителей</v>
      </c>
      <c r="AW50" s="129"/>
      <c r="AX50" s="129"/>
      <c r="AY50" s="50">
        <v>21</v>
      </c>
    </row>
    <row r="51" ht="22" customHeight="1">
      <c r="A51" s="493" t="s">
        <v>253</v>
      </c>
      <c r="B51" s="493" t="s">
        <v>254</v>
      </c>
      <c r="C51" s="493" t="s">
        <v>255</v>
      </c>
      <c r="D51" s="493" t="s">
        <v>544</v>
      </c>
      <c r="E51" s="505"/>
      <c r="F51" s="505"/>
      <c r="G51" s="505"/>
      <c r="H51" s="494"/>
      <c r="I51" s="493"/>
      <c r="J51" s="493"/>
      <c r="K51" s="493"/>
      <c r="L51" s="495"/>
      <c r="M51" s="496"/>
      <c r="N51" s="496"/>
      <c r="O51" s="53"/>
      <c r="P51" s="143"/>
      <c r="Q51" s="536"/>
      <c r="R51" s="497"/>
      <c r="S51" s="529"/>
      <c r="T51" s="700" t="s">
        <v>487</v>
      </c>
      <c r="U51" s="214"/>
      <c r="V51" s="214"/>
      <c r="W51" s="214"/>
      <c r="X51" s="214"/>
      <c r="Y51" s="214"/>
      <c r="Z51" s="214"/>
      <c r="AA51" s="214"/>
      <c r="AB51" s="214"/>
      <c r="AC51" s="214"/>
      <c r="AD51" s="214"/>
      <c r="AE51" s="214"/>
      <c r="AF51" s="534"/>
      <c r="AG51" s="214"/>
      <c r="AH51" s="214"/>
      <c r="AI51" s="214"/>
      <c r="AJ51" s="214"/>
      <c r="AK51" s="214"/>
      <c r="AL51" s="214"/>
      <c r="AM51" s="214"/>
      <c r="AN51" s="214"/>
      <c r="AO51" s="214"/>
      <c r="AP51" s="214"/>
      <c r="AQ51" s="534"/>
      <c r="AR51" s="214"/>
      <c r="AS51" s="535"/>
      <c r="AU51" s="129"/>
      <c r="AV51" s="129" t="str">
        <f t="shared" si="42"/>
        <v xml:space="preserve">Добавить наименование признака дифференциации</v>
      </c>
      <c r="AW51" s="129"/>
      <c r="AX51" s="129"/>
      <c r="AY51" s="50">
        <v>21</v>
      </c>
    </row>
    <row r="52" s="57" customFormat="1" ht="0" customHeight="1">
      <c r="A52" s="133" t="s">
        <v>253</v>
      </c>
      <c r="B52" s="133" t="s">
        <v>254</v>
      </c>
      <c r="C52" s="133"/>
      <c r="D52" s="133"/>
      <c r="E52" s="505"/>
      <c r="F52" s="494"/>
      <c r="G52" s="133"/>
      <c r="H52" s="133"/>
      <c r="I52" s="133"/>
      <c r="J52" s="133"/>
      <c r="K52" s="133"/>
      <c r="L52" s="212"/>
      <c r="M52" s="542"/>
      <c r="N52" s="542"/>
      <c r="P52" s="167"/>
      <c r="Q52" s="538"/>
      <c r="R52" s="167"/>
      <c r="S52" s="543"/>
      <c r="T52" s="546" t="s">
        <v>238</v>
      </c>
      <c r="U52" s="545"/>
      <c r="V52" s="545"/>
      <c r="W52" s="545"/>
      <c r="X52" s="545"/>
      <c r="Y52" s="545"/>
      <c r="Z52" s="545"/>
      <c r="AA52" s="545"/>
      <c r="AB52" s="545"/>
      <c r="AC52" s="545"/>
      <c r="AD52" s="545"/>
      <c r="AE52" s="545"/>
      <c r="AF52" s="545"/>
      <c r="AG52" s="545"/>
      <c r="AH52" s="545"/>
      <c r="AI52" s="545"/>
      <c r="AJ52" s="545"/>
      <c r="AK52" s="545"/>
      <c r="AL52" s="545"/>
      <c r="AM52" s="545"/>
      <c r="AN52" s="545"/>
      <c r="AO52" s="545"/>
      <c r="AP52" s="545"/>
      <c r="AQ52" s="545"/>
      <c r="AR52" s="545"/>
      <c r="AS52" s="545"/>
      <c r="AU52" s="129"/>
      <c r="AV52" s="129" t="str">
        <f t="shared" si="42"/>
        <v xml:space="preserve">Добавить централизованную систему для дифференциации</v>
      </c>
      <c r="AW52" s="129"/>
      <c r="AX52" s="129"/>
      <c r="AY52" s="57">
        <v>0</v>
      </c>
    </row>
    <row r="53" s="57" customFormat="1" ht="0" customHeight="1">
      <c r="A53" s="133" t="s">
        <v>253</v>
      </c>
      <c r="B53" s="133"/>
      <c r="C53" s="133"/>
      <c r="D53" s="133"/>
      <c r="E53" s="494"/>
      <c r="F53" s="133"/>
      <c r="G53" s="133"/>
      <c r="H53" s="133"/>
      <c r="I53" s="133"/>
      <c r="J53" s="133"/>
      <c r="K53" s="133"/>
      <c r="L53" s="212"/>
      <c r="M53" s="542"/>
      <c r="N53" s="542"/>
      <c r="O53" s="57"/>
      <c r="P53" s="167"/>
      <c r="Q53" s="538"/>
      <c r="R53" s="167"/>
      <c r="S53" s="543"/>
      <c r="T53" s="546" t="s">
        <v>239</v>
      </c>
      <c r="U53" s="545"/>
      <c r="V53" s="545"/>
      <c r="W53" s="545"/>
      <c r="X53" s="545"/>
      <c r="Y53" s="545"/>
      <c r="Z53" s="545"/>
      <c r="AA53" s="545"/>
      <c r="AB53" s="545"/>
      <c r="AC53" s="545"/>
      <c r="AD53" s="545"/>
      <c r="AE53" s="545"/>
      <c r="AF53" s="545"/>
      <c r="AG53" s="545"/>
      <c r="AH53" s="545"/>
      <c r="AI53" s="545"/>
      <c r="AJ53" s="545"/>
      <c r="AK53" s="545"/>
      <c r="AL53" s="545"/>
      <c r="AM53" s="545"/>
      <c r="AN53" s="545"/>
      <c r="AO53" s="545"/>
      <c r="AP53" s="545"/>
      <c r="AQ53" s="545"/>
      <c r="AR53" s="545"/>
      <c r="AS53" s="545"/>
      <c r="AU53" s="129"/>
      <c r="AV53" s="129" t="str">
        <f t="shared" si="42"/>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42"/>
      <c r="N54" s="542"/>
      <c r="P54" s="167"/>
      <c r="Q54" s="538"/>
      <c r="R54" s="167"/>
      <c r="S54" s="543"/>
      <c r="T54" s="546" t="s">
        <v>240</v>
      </c>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c r="AR54" s="545"/>
      <c r="AS54" s="545"/>
      <c r="AU54" s="129"/>
      <c r="AV54" s="129" t="str">
        <f t="shared" si="42"/>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90"/>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Y56" s="50">
        <v>14</v>
      </c>
    </row>
    <row r="57" ht="14.65" customHeight="1">
      <c r="O57" s="53"/>
      <c r="AY57" s="50">
        <v>14</v>
      </c>
    </row>
    <row r="58" ht="14.65" customHeight="1">
      <c r="O58" s="53"/>
      <c r="S58" s="490"/>
      <c r="T58" s="588"/>
      <c r="U58" s="588"/>
      <c r="V58" s="588"/>
      <c r="W58" s="588"/>
      <c r="X58" s="588"/>
      <c r="Y58" s="588"/>
      <c r="Z58" s="588"/>
      <c r="AA58" s="588"/>
      <c r="AB58" s="588"/>
      <c r="AC58" s="588"/>
      <c r="AD58" s="588"/>
      <c r="AE58" s="588"/>
      <c r="AF58" s="588"/>
      <c r="AG58" s="588"/>
      <c r="AH58" s="588"/>
      <c r="AI58" s="588"/>
      <c r="AJ58" s="588"/>
      <c r="AK58" s="588"/>
      <c r="AL58" s="588"/>
      <c r="AM58" s="588"/>
      <c r="AN58" s="588"/>
      <c r="AO58" s="588"/>
      <c r="AP58" s="588"/>
      <c r="AQ58" s="588"/>
      <c r="AR58" s="588"/>
      <c r="AS58" s="588"/>
      <c r="AY58" s="50">
        <v>14</v>
      </c>
    </row>
    <row r="59" ht="22.5" hidden="1" customHeight="1">
      <c r="A59" s="53" t="s">
        <v>82</v>
      </c>
      <c r="B59" s="53">
        <v>0</v>
      </c>
      <c r="C59" s="53">
        <v>0</v>
      </c>
      <c r="D59" s="53">
        <v>0</v>
      </c>
      <c r="E59" s="53">
        <v>0</v>
      </c>
      <c r="F59" s="53">
        <v>0</v>
      </c>
      <c r="G59" s="53">
        <v>0</v>
      </c>
      <c r="H59" s="53">
        <v>0</v>
      </c>
      <c r="I59" s="53">
        <v>0</v>
      </c>
      <c r="J59" s="53">
        <v>0</v>
      </c>
      <c r="K59" s="53">
        <v>0</v>
      </c>
      <c r="L59" s="113">
        <v>0</v>
      </c>
      <c r="M59" s="61">
        <v>0</v>
      </c>
      <c r="N59" s="61">
        <v>0</v>
      </c>
      <c r="O59" s="61">
        <v>0</v>
      </c>
      <c r="P59" s="60">
        <v>3</v>
      </c>
      <c r="Q59" s="492">
        <v>3</v>
      </c>
      <c r="R59" s="492">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isablePrompts="0">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5006F-0092-493E-94FF-00C300F3007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2A00C4-00D4-4E0B-8E6A-00E8007C00CA}"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8B000C-0068-49CF-AB4F-004E009D0044}"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0A0088-00E5-4595-A0A1-002900950088}"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2"/>
      <c r="AD2" s="502"/>
      <c r="AE2" s="502"/>
      <c r="AF2" s="503"/>
      <c r="AG2" s="501" t="e">
        <f>INDEX(PT_DIFFERENTIATION_NTAR,MATCH(A2,PT_DIFFERENTIATION_NTAR_ID,0))</f>
        <v>#VALUE!</v>
      </c>
      <c r="AH2" s="502"/>
      <c r="AI2" s="502"/>
      <c r="AJ2" s="502"/>
      <c r="AK2" s="502"/>
      <c r="AL2" s="502"/>
      <c r="AM2" s="502"/>
      <c r="AN2" s="502"/>
      <c r="AO2" s="502"/>
      <c r="AP2" s="502"/>
      <c r="AQ2" s="502"/>
      <c r="AR2" s="503"/>
      <c r="AS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9"/>
      <c r="AV2" s="129" t="str">
        <f t="shared" ref="AV2:AV9" si="43">IF(T2="","",T2)</f>
        <v xml:space="preserve">Наименование тарифа</v>
      </c>
      <c r="AW2" s="129"/>
      <c r="AX2" s="129"/>
      <c r="AY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399</v>
      </c>
      <c r="U3" s="500"/>
      <c r="V3" s="501"/>
      <c r="W3" s="502"/>
      <c r="X3" s="502"/>
      <c r="Y3" s="502"/>
      <c r="Z3" s="502"/>
      <c r="AA3" s="502"/>
      <c r="AB3" s="502"/>
      <c r="AC3" s="502"/>
      <c r="AD3" s="502"/>
      <c r="AE3" s="502"/>
      <c r="AF3" s="503"/>
      <c r="AG3" s="501" t="e">
        <f>INDEX(PT_DIFFERENTIATION_TER,MATCH(B3,PT_DIFFERENTIATION_TER_ID,0))</f>
        <v>#VALUE!</v>
      </c>
      <c r="AH3" s="502"/>
      <c r="AI3" s="502"/>
      <c r="AJ3" s="502"/>
      <c r="AK3" s="502"/>
      <c r="AL3" s="502"/>
      <c r="AM3" s="502"/>
      <c r="AN3" s="502"/>
      <c r="AO3" s="502"/>
      <c r="AP3" s="502"/>
      <c r="AQ3" s="502"/>
      <c r="AR3" s="503"/>
      <c r="AS3" s="504" t="s">
        <v>400</v>
      </c>
      <c r="AU3" s="129"/>
      <c r="AV3" s="129" t="str">
        <f t="shared" si="43"/>
        <v xml:space="preserve">Территория действия тарифа</v>
      </c>
      <c r="AW3" s="129"/>
      <c r="AX3" s="129"/>
      <c r="AY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532</v>
      </c>
      <c r="U4" s="500"/>
      <c r="V4" s="501"/>
      <c r="W4" s="502"/>
      <c r="X4" s="502"/>
      <c r="Y4" s="502"/>
      <c r="Z4" s="502"/>
      <c r="AA4" s="502"/>
      <c r="AB4" s="502"/>
      <c r="AC4" s="502"/>
      <c r="AD4" s="502"/>
      <c r="AE4" s="502"/>
      <c r="AF4" s="503"/>
      <c r="AG4" s="501" t="e">
        <f>INDEX(PT_DIFFERENTIATION_CS,MATCH(C4,PT_DIFFERENTIATION_CS_ID,0))</f>
        <v>#VALUE!</v>
      </c>
      <c r="AH4" s="502"/>
      <c r="AI4" s="502"/>
      <c r="AJ4" s="502"/>
      <c r="AK4" s="502"/>
      <c r="AL4" s="502"/>
      <c r="AM4" s="502"/>
      <c r="AN4" s="502"/>
      <c r="AO4" s="502"/>
      <c r="AP4" s="502"/>
      <c r="AQ4" s="502"/>
      <c r="AR4" s="503"/>
      <c r="AS4" s="504" t="s">
        <v>533</v>
      </c>
      <c r="AU4" s="129"/>
      <c r="AV4" s="129" t="str">
        <f t="shared" si="43"/>
        <v xml:space="preserve">Наименование централизованной системы горячего водоснабжения</v>
      </c>
      <c r="AW4" s="129"/>
      <c r="AX4" s="129"/>
      <c r="AY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482</v>
      </c>
      <c r="U5" s="500"/>
      <c r="V5" s="689"/>
      <c r="W5" s="690"/>
      <c r="X5" s="690"/>
      <c r="Y5" s="690"/>
      <c r="Z5" s="690"/>
      <c r="AA5" s="690"/>
      <c r="AB5" s="690"/>
      <c r="AC5" s="690"/>
      <c r="AD5" s="690"/>
      <c r="AE5" s="690"/>
      <c r="AF5" s="691"/>
      <c r="AG5" s="692"/>
      <c r="AH5" s="693"/>
      <c r="AI5" s="693"/>
      <c r="AJ5" s="693"/>
      <c r="AK5" s="693"/>
      <c r="AL5" s="693"/>
      <c r="AM5" s="693"/>
      <c r="AN5" s="693"/>
      <c r="AO5" s="693"/>
      <c r="AP5" s="693"/>
      <c r="AQ5" s="693"/>
      <c r="AR5" s="694"/>
      <c r="AS5" s="504" t="s">
        <v>483</v>
      </c>
      <c r="AU5" s="129"/>
      <c r="AV5" s="129" t="str">
        <f t="shared" si="43"/>
        <v xml:space="preserve">Наименование признака дифференциации</v>
      </c>
      <c r="AW5" s="129"/>
      <c r="AX5" s="129"/>
      <c r="AY5" s="50">
        <v>0</v>
      </c>
    </row>
    <row r="6" ht="23.25" hidden="1" customHeight="1">
      <c r="A6" s="493"/>
      <c r="B6" s="493"/>
      <c r="C6" s="493"/>
      <c r="D6" s="493"/>
      <c r="E6" s="505"/>
      <c r="F6" s="505"/>
      <c r="G6" s="505"/>
      <c r="H6" s="505"/>
      <c r="I6" s="517"/>
      <c r="J6" s="512" t="e">
        <f>I5&amp;".1"</f>
        <v>#VALUE!</v>
      </c>
      <c r="K6" s="493"/>
      <c r="L6" s="495" t="s">
        <v>408</v>
      </c>
      <c r="P6" s="132"/>
      <c r="Q6" s="132">
        <v>1</v>
      </c>
      <c r="R6" s="518"/>
      <c r="S6" s="498" t="e">
        <f>$J6</f>
        <v>#VALUE!</v>
      </c>
      <c r="T6" s="519" t="s">
        <v>409</v>
      </c>
      <c r="U6" s="500"/>
      <c r="V6" s="445"/>
      <c r="W6" s="515"/>
      <c r="X6" s="515"/>
      <c r="Y6" s="515"/>
      <c r="Z6" s="515"/>
      <c r="AA6" s="515"/>
      <c r="AB6" s="515"/>
      <c r="AC6" s="515"/>
      <c r="AD6" s="515"/>
      <c r="AE6" s="515"/>
      <c r="AF6" s="516"/>
      <c r="AG6" s="445"/>
      <c r="AH6" s="515"/>
      <c r="AI6" s="515"/>
      <c r="AJ6" s="515"/>
      <c r="AK6" s="515"/>
      <c r="AL6" s="515"/>
      <c r="AM6" s="515"/>
      <c r="AN6" s="515"/>
      <c r="AO6" s="515"/>
      <c r="AP6" s="515"/>
      <c r="AQ6" s="515"/>
      <c r="AR6" s="516"/>
      <c r="AS6" s="631" t="s">
        <v>484</v>
      </c>
      <c r="AU6" s="129"/>
      <c r="AV6" s="129" t="str">
        <f t="shared" si="43"/>
        <v xml:space="preserve">Группа потребителей</v>
      </c>
      <c r="AW6" s="129"/>
      <c r="AX6" s="129"/>
      <c r="AY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1"/>
      <c r="Y7" s="521"/>
      <c r="Z7" s="521"/>
      <c r="AA7" s="521"/>
      <c r="AB7" s="523"/>
      <c r="AC7" s="524"/>
      <c r="AD7" s="224" t="s">
        <v>66</v>
      </c>
      <c r="AE7" s="524"/>
      <c r="AF7" s="224" t="s">
        <v>66</v>
      </c>
      <c r="AG7" s="521"/>
      <c r="AH7" s="521"/>
      <c r="AI7" s="521"/>
      <c r="AJ7" s="521"/>
      <c r="AK7" s="521"/>
      <c r="AL7" s="521"/>
      <c r="AM7" s="523"/>
      <c r="AN7" s="524"/>
      <c r="AO7" s="224" t="s">
        <v>66</v>
      </c>
      <c r="AP7" s="584"/>
      <c r="AQ7" s="224" t="s">
        <v>66</v>
      </c>
      <c r="AR7" s="696"/>
      <c r="AS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3"/>
        <v/>
      </c>
      <c r="AW7" s="129"/>
      <c r="AX7" s="129"/>
      <c r="AY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2"/>
      <c r="Y8" s="522"/>
      <c r="Z8" s="522"/>
      <c r="AA8" s="522"/>
      <c r="AB8" s="526" t="str">
        <f>AC7&amp;"-"&amp;AE7</f>
        <v>-</v>
      </c>
      <c r="AC8" s="527"/>
      <c r="AD8" s="224"/>
      <c r="AE8" s="527"/>
      <c r="AF8" s="224"/>
      <c r="AG8" s="522"/>
      <c r="AH8" s="522"/>
      <c r="AI8" s="522"/>
      <c r="AJ8" s="522"/>
      <c r="AK8" s="522"/>
      <c r="AL8" s="522"/>
      <c r="AM8" s="526" t="str">
        <f>AN7&amp;"-"&amp;AP7</f>
        <v>-</v>
      </c>
      <c r="AN8" s="527"/>
      <c r="AO8" s="224"/>
      <c r="AP8" s="586"/>
      <c r="AQ8" s="224"/>
      <c r="AR8" s="698"/>
      <c r="AS8" s="697"/>
      <c r="AU8" s="129"/>
      <c r="AV8" s="129" t="str">
        <f t="shared" si="43"/>
        <v/>
      </c>
      <c r="AW8" s="129"/>
      <c r="AX8" s="129"/>
      <c r="AY8" s="50">
        <v>0</v>
      </c>
    </row>
    <row r="9" ht="21" hidden="1" customHeight="1">
      <c r="A9" s="493"/>
      <c r="B9" s="493"/>
      <c r="C9" s="493"/>
      <c r="D9" s="493"/>
      <c r="E9" s="505"/>
      <c r="F9" s="505"/>
      <c r="G9" s="505"/>
      <c r="H9" s="505"/>
      <c r="I9" s="517"/>
      <c r="J9" s="512"/>
      <c r="K9" s="493"/>
      <c r="L9" s="495"/>
      <c r="P9" s="132"/>
      <c r="Q9" s="132"/>
      <c r="R9" s="513"/>
      <c r="S9" s="529"/>
      <c r="T9" s="533" t="s">
        <v>485</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504" t="s">
        <v>486</v>
      </c>
      <c r="AU9" s="129"/>
      <c r="AV9" s="129" t="str">
        <f t="shared" si="43"/>
        <v xml:space="preserve">Добавить значение признака дифференциации</v>
      </c>
      <c r="AW9" s="129"/>
      <c r="AX9" s="129"/>
      <c r="AY9" s="50">
        <v>0</v>
      </c>
    </row>
    <row r="10" ht="21" hidden="1" customHeight="1">
      <c r="A10" s="493"/>
      <c r="B10" s="493"/>
      <c r="C10" s="493"/>
      <c r="D10" s="493"/>
      <c r="E10" s="505"/>
      <c r="F10" s="505"/>
      <c r="G10" s="505"/>
      <c r="H10" s="505"/>
      <c r="I10" s="512"/>
      <c r="J10" s="493"/>
      <c r="K10" s="493"/>
      <c r="L10" s="495"/>
      <c r="P10" s="132"/>
      <c r="Q10" s="132"/>
      <c r="R10" s="513"/>
      <c r="S10" s="529"/>
      <c r="T10" s="537" t="s">
        <v>414</v>
      </c>
      <c r="U10" s="214"/>
      <c r="V10" s="214"/>
      <c r="W10" s="214"/>
      <c r="X10" s="214"/>
      <c r="Y10" s="214"/>
      <c r="Z10" s="214"/>
      <c r="AA10" s="214"/>
      <c r="AB10" s="214"/>
      <c r="AC10" s="214"/>
      <c r="AD10" s="214"/>
      <c r="AE10" s="214"/>
      <c r="AF10" s="534"/>
      <c r="AG10" s="214"/>
      <c r="AH10" s="214"/>
      <c r="AI10" s="214"/>
      <c r="AJ10" s="214"/>
      <c r="AK10" s="214"/>
      <c r="AL10" s="214"/>
      <c r="AM10" s="214"/>
      <c r="AN10" s="214"/>
      <c r="AO10" s="214"/>
      <c r="AP10" s="214"/>
      <c r="AQ10" s="534"/>
      <c r="AR10" s="214"/>
      <c r="AS10" s="699"/>
      <c r="AU10" s="129"/>
      <c r="AV10" s="129" t="str">
        <f t="shared" ref="AV10:AV54" si="44">IF(T10="","",T10)</f>
        <v xml:space="preserve">Добавить группу потребителей</v>
      </c>
      <c r="AW10" s="129"/>
      <c r="AX10" s="129"/>
      <c r="AY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487</v>
      </c>
      <c r="U11" s="214"/>
      <c r="V11" s="214"/>
      <c r="W11" s="214"/>
      <c r="X11" s="214"/>
      <c r="Y11" s="214"/>
      <c r="Z11" s="214"/>
      <c r="AA11" s="214"/>
      <c r="AB11" s="214"/>
      <c r="AC11" s="214"/>
      <c r="AD11" s="214"/>
      <c r="AE11" s="214"/>
      <c r="AF11" s="534"/>
      <c r="AG11" s="214"/>
      <c r="AH11" s="214"/>
      <c r="AI11" s="214"/>
      <c r="AJ11" s="214"/>
      <c r="AK11" s="214"/>
      <c r="AL11" s="214"/>
      <c r="AM11" s="214"/>
      <c r="AN11" s="214"/>
      <c r="AO11" s="214"/>
      <c r="AP11" s="214"/>
      <c r="AQ11" s="534"/>
      <c r="AR11" s="214"/>
      <c r="AS11" s="535"/>
      <c r="AU11" s="129"/>
      <c r="AV11" s="129" t="str">
        <f t="shared" si="44"/>
        <v xml:space="preserve">Добавить наименование признака дифференциации</v>
      </c>
      <c r="AW11" s="129"/>
      <c r="AX11" s="129"/>
      <c r="AY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238</v>
      </c>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U12" s="129"/>
      <c r="AV12" s="129" t="str">
        <f t="shared" si="44"/>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239</v>
      </c>
      <c r="U13" s="545"/>
      <c r="V13" s="545"/>
      <c r="W13" s="545"/>
      <c r="X13" s="545"/>
      <c r="Y13" s="545"/>
      <c r="Z13" s="545"/>
      <c r="AA13" s="545"/>
      <c r="AB13" s="545"/>
      <c r="AC13" s="545"/>
      <c r="AD13" s="545"/>
      <c r="AE13" s="545"/>
      <c r="AF13" s="545"/>
      <c r="AG13" s="545"/>
      <c r="AH13" s="545"/>
      <c r="AI13" s="545"/>
      <c r="AJ13" s="545"/>
      <c r="AK13" s="545"/>
      <c r="AL13" s="545"/>
      <c r="AM13" s="545"/>
      <c r="AN13" s="545"/>
      <c r="AO13" s="545"/>
      <c r="AP13" s="545"/>
      <c r="AQ13" s="545"/>
      <c r="AR13" s="545"/>
      <c r="AS13" s="545"/>
      <c r="AU13" s="129"/>
      <c r="AV13" s="129" t="str">
        <f t="shared" si="44"/>
        <v xml:space="preserve">Добавить территорию для дифференциации</v>
      </c>
      <c r="AW13" s="129"/>
      <c r="AX13" s="129"/>
      <c r="AY13" s="57">
        <v>0</v>
      </c>
    </row>
    <row r="14" ht="14.25" hidden="1" customHeight="1">
      <c r="AF14" s="50"/>
      <c r="AQ14" s="50"/>
      <c r="AY14" s="50">
        <v>0</v>
      </c>
    </row>
    <row r="15" ht="14.25" hidden="1" customHeight="1">
      <c r="AG15" s="547"/>
      <c r="AH15" s="547"/>
      <c r="AI15" s="547"/>
      <c r="AJ15" s="547"/>
      <c r="AK15" s="547"/>
      <c r="AL15" s="547"/>
      <c r="AM15" s="548"/>
      <c r="AN15" s="549"/>
      <c r="AO15" s="550" t="s">
        <v>66</v>
      </c>
      <c r="AP15" s="549"/>
      <c r="AQ15" s="550" t="s">
        <v>66</v>
      </c>
      <c r="AY15" s="50">
        <v>0</v>
      </c>
    </row>
    <row r="16" ht="14.25" hidden="1" customHeight="1">
      <c r="AG16" s="547"/>
      <c r="AH16" s="547"/>
      <c r="AI16" s="547"/>
      <c r="AJ16" s="547"/>
      <c r="AK16" s="547"/>
      <c r="AL16" s="547"/>
      <c r="AM16" s="526" t="str">
        <f>AN15&amp;"-"&amp;AP15</f>
        <v>-</v>
      </c>
      <c r="AN16" s="550"/>
      <c r="AO16" s="550"/>
      <c r="AP16" s="550"/>
      <c r="AQ16" s="550"/>
      <c r="AY16" s="50">
        <v>0</v>
      </c>
    </row>
    <row r="17" ht="14.25" hidden="1" customHeight="1">
      <c r="AQ17" s="50"/>
      <c r="AY17" s="50">
        <v>0</v>
      </c>
    </row>
    <row r="18" s="53" customFormat="1" ht="22.5" hidden="1" customHeight="1">
      <c r="L18" s="113"/>
      <c r="M18" s="61"/>
      <c r="N18" s="61"/>
      <c r="O18" s="551" t="s">
        <v>417</v>
      </c>
      <c r="P18" s="61"/>
      <c r="Q18" s="552"/>
      <c r="R18" s="552"/>
      <c r="S18" s="496"/>
      <c r="W18" s="53"/>
      <c r="X18" s="53"/>
      <c r="Y18" s="53"/>
      <c r="Z18" s="53"/>
      <c r="AA18" s="53"/>
      <c r="AC18" s="551"/>
      <c r="AE18" s="551"/>
      <c r="AF18" s="53"/>
      <c r="AH18" s="53"/>
      <c r="AI18" s="53"/>
      <c r="AJ18" s="53"/>
      <c r="AK18" s="53"/>
      <c r="AL18" s="53"/>
      <c r="AN18" s="551"/>
      <c r="AP18" s="551"/>
      <c r="AQ18" s="53"/>
      <c r="AT18" s="57"/>
      <c r="AU18" s="57"/>
      <c r="AV18" s="57"/>
      <c r="AW18" s="57"/>
      <c r="AX18" s="57"/>
      <c r="AY18" s="53">
        <v>0</v>
      </c>
    </row>
    <row r="19" s="53" customFormat="1" ht="14.25" hidden="1" customHeight="1">
      <c r="L19" s="113"/>
      <c r="M19" s="61"/>
      <c r="N19" s="61"/>
      <c r="O19" s="61"/>
      <c r="P19" s="61"/>
      <c r="Q19" s="552"/>
      <c r="R19" s="552"/>
      <c r="S19" s="496"/>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3"/>
      <c r="M20" s="61"/>
      <c r="N20" s="61"/>
      <c r="O20" s="495" t="s">
        <v>418</v>
      </c>
      <c r="P20" s="61"/>
      <c r="Q20" s="701"/>
      <c r="R20" s="701"/>
      <c r="S20" s="496"/>
      <c r="T20" s="53" t="s">
        <v>419</v>
      </c>
      <c r="W20" s="53"/>
      <c r="X20" s="53"/>
      <c r="Y20" s="53"/>
      <c r="Z20" s="53"/>
      <c r="AA20" s="53"/>
      <c r="AD20" s="151" t="s">
        <v>420</v>
      </c>
      <c r="AF20" s="151" t="s">
        <v>421</v>
      </c>
      <c r="AG20" s="53" t="s">
        <v>419</v>
      </c>
      <c r="AH20" s="53"/>
      <c r="AI20" s="53"/>
      <c r="AJ20" s="53"/>
      <c r="AK20" s="53"/>
      <c r="AL20" s="53"/>
      <c r="AO20" s="151" t="s">
        <v>422</v>
      </c>
      <c r="AQ20" s="151" t="s">
        <v>421</v>
      </c>
      <c r="AY20" s="53">
        <v>0</v>
      </c>
    </row>
    <row r="21" ht="14.25" hidden="1" customHeight="1">
      <c r="O21" s="495"/>
      <c r="AY21" s="50">
        <v>0</v>
      </c>
    </row>
    <row r="22" ht="14.25" hidden="1" customHeight="1">
      <c r="O22" s="495"/>
      <c r="AY22" s="50">
        <v>0</v>
      </c>
    </row>
    <row r="23" ht="14.65" customHeight="1">
      <c r="Q23" s="553"/>
      <c r="R23" s="553"/>
      <c r="S23" s="554"/>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3"/>
      <c r="R24" s="553"/>
      <c r="S24" s="466"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6"/>
      <c r="U24" s="466"/>
      <c r="V24" s="466"/>
      <c r="W24" s="466"/>
      <c r="X24" s="466"/>
      <c r="Y24" s="466"/>
      <c r="Z24" s="466"/>
      <c r="AA24" s="466"/>
      <c r="AB24" s="466"/>
      <c r="AC24" s="466"/>
      <c r="AD24" s="466"/>
      <c r="AE24" s="466"/>
      <c r="AF24" s="466"/>
      <c r="AG24" s="466"/>
      <c r="AH24" s="466"/>
      <c r="AI24" s="466"/>
      <c r="AJ24" s="466"/>
      <c r="AK24" s="466"/>
      <c r="AL24" s="466"/>
      <c r="AM24" s="466"/>
      <c r="AN24" s="466"/>
      <c r="AO24" s="466"/>
      <c r="AP24" s="466"/>
      <c r="AQ24" s="240"/>
      <c r="AY24" s="50">
        <v>25</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320"/>
      <c r="AJ25" s="320"/>
      <c r="AK25" s="320"/>
      <c r="AL25" s="320"/>
      <c r="AM25" s="320"/>
      <c r="AN25" s="320"/>
      <c r="AO25" s="320"/>
      <c r="AP25" s="320"/>
      <c r="AQ25" s="240"/>
      <c r="AY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55"/>
      <c r="AK26" s="555"/>
      <c r="AL26" s="555"/>
      <c r="AM26" s="555"/>
      <c r="AN26" s="555"/>
      <c r="AO26" s="555"/>
      <c r="AP26" s="555"/>
      <c r="AQ26" s="555"/>
      <c r="AR26" s="50"/>
      <c r="AY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58"/>
      <c r="AC27" s="558"/>
      <c r="AD27" s="558"/>
      <c r="AE27" s="558"/>
      <c r="AF27" s="50"/>
      <c r="AG27" s="558" t="str">
        <f>IF(TITLE_NAME_OR_PR_CHANGE="",IF(TITLE_NAME_OR_PR="","",TITLE_NAME_OR_PR),TITLE_NAME_OR_PR_CHANGE)</f>
        <v/>
      </c>
      <c r="AH27" s="558"/>
      <c r="AI27" s="558"/>
      <c r="AJ27" s="558"/>
      <c r="AK27" s="558"/>
      <c r="AL27" s="558"/>
      <c r="AM27" s="558"/>
      <c r="AN27" s="558"/>
      <c r="AO27" s="558"/>
      <c r="AP27" s="558"/>
      <c r="AQ27" s="50"/>
      <c r="AR27" s="50"/>
      <c r="AS27" s="559"/>
      <c r="AT27" s="129"/>
      <c r="AU27" s="129"/>
      <c r="AV27" s="129"/>
      <c r="AW27" s="129"/>
      <c r="AX27" s="129"/>
      <c r="AY27" s="184">
        <v>0</v>
      </c>
    </row>
    <row r="28" s="184" customFormat="1" ht="18.75" hidden="1" customHeight="1">
      <c r="A28" s="151"/>
      <c r="B28" s="151"/>
      <c r="C28" s="151"/>
      <c r="D28" s="151"/>
      <c r="E28" s="151"/>
      <c r="F28" s="151"/>
      <c r="G28" s="151"/>
      <c r="H28" s="151"/>
      <c r="I28" s="151"/>
      <c r="J28" s="151"/>
      <c r="K28" s="151"/>
      <c r="L28" s="495"/>
      <c r="M28" s="151"/>
      <c r="N28" s="151"/>
      <c r="O28" s="151"/>
      <c r="S28" s="556" t="s">
        <v>423</v>
      </c>
      <c r="T28" s="556"/>
      <c r="U28" s="557"/>
      <c r="V28" s="560" t="str">
        <f>IF(TITLE_DATE_PR_CHANGE="",IF(TITLE_DATE_PR="","",TITLE_DATE_PR),TITLE_DATE_PR_CHANGE)</f>
        <v>45406</v>
      </c>
      <c r="W28" s="560"/>
      <c r="X28" s="560"/>
      <c r="Y28" s="560"/>
      <c r="Z28" s="560"/>
      <c r="AA28" s="560"/>
      <c r="AB28" s="560"/>
      <c r="AC28" s="560"/>
      <c r="AD28" s="560"/>
      <c r="AE28" s="560"/>
      <c r="AF28" s="50"/>
      <c r="AG28" s="560" t="str">
        <f>IF(TITLE_DATE_PR_CHANGE="",IF(TITLE_DATE_PR="","",TITLE_DATE_PR),TITLE_DATE_PR_CHANGE)</f>
        <v>45406</v>
      </c>
      <c r="AH28" s="560"/>
      <c r="AI28" s="560"/>
      <c r="AJ28" s="560"/>
      <c r="AK28" s="560"/>
      <c r="AL28" s="560"/>
      <c r="AM28" s="560"/>
      <c r="AN28" s="560"/>
      <c r="AO28" s="560"/>
      <c r="AP28" s="560"/>
      <c r="AQ28" s="50"/>
      <c r="AR28" s="50"/>
      <c r="AS28" s="559"/>
      <c r="AT28" s="129"/>
      <c r="AU28" s="129"/>
      <c r="AV28" s="129"/>
      <c r="AW28" s="129"/>
      <c r="AX28" s="129"/>
      <c r="AY28" s="184">
        <v>0</v>
      </c>
    </row>
    <row r="29" s="184" customFormat="1" ht="18.75" hidden="1" customHeight="1">
      <c r="A29" s="151"/>
      <c r="B29" s="151"/>
      <c r="C29" s="151"/>
      <c r="D29" s="151"/>
      <c r="E29" s="151"/>
      <c r="F29" s="151"/>
      <c r="G29" s="151"/>
      <c r="H29" s="151"/>
      <c r="I29" s="151"/>
      <c r="J29" s="151"/>
      <c r="K29" s="151"/>
      <c r="L29" s="495"/>
      <c r="M29" s="151"/>
      <c r="N29" s="151"/>
      <c r="O29" s="151"/>
      <c r="S29" s="556" t="s">
        <v>424</v>
      </c>
      <c r="T29" s="556"/>
      <c r="U29" s="557"/>
      <c r="V29" s="558" t="str">
        <f>IF(TITLE_NUMBER_PR_CHANGE="",IF(TITLE_NUMBER_PR="","",TITLE_NUMBER_PR),TITLE_NUMBER_PR_CHANGE)</f>
        <v>ПГ/01/950</v>
      </c>
      <c r="W29" s="558"/>
      <c r="X29" s="558"/>
      <c r="Y29" s="558"/>
      <c r="Z29" s="558"/>
      <c r="AA29" s="558"/>
      <c r="AB29" s="558"/>
      <c r="AC29" s="558"/>
      <c r="AD29" s="558"/>
      <c r="AE29" s="558"/>
      <c r="AF29" s="50"/>
      <c r="AG29" s="558" t="str">
        <f>IF(TITLE_NUMBER_PR_CHANGE="",IF(TITLE_NUMBER_PR="","",TITLE_NUMBER_PR),TITLE_NUMBER_PR_CHANGE)</f>
        <v>ПГ/01/950</v>
      </c>
      <c r="AH29" s="558"/>
      <c r="AI29" s="558"/>
      <c r="AJ29" s="558"/>
      <c r="AK29" s="558"/>
      <c r="AL29" s="558"/>
      <c r="AM29" s="558"/>
      <c r="AN29" s="558"/>
      <c r="AO29" s="558"/>
      <c r="AP29" s="558"/>
      <c r="AQ29" s="50"/>
      <c r="AR29" s="50"/>
      <c r="AS29" s="559"/>
      <c r="AT29" s="129"/>
      <c r="AU29" s="129"/>
      <c r="AV29" s="129"/>
      <c r="AW29" s="129"/>
      <c r="AX29" s="129"/>
      <c r="AY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58"/>
      <c r="AC30" s="558"/>
      <c r="AD30" s="558"/>
      <c r="AE30" s="558"/>
      <c r="AF30" s="50"/>
      <c r="AG30" s="558" t="str">
        <f>IF(TITLE_IST_PUB_CHANGE="",IF(TITLE_IST_PUB="","",TITLE_IST_PUB),TITLE_IST_PUB_CHANGE)</f>
        <v/>
      </c>
      <c r="AH30" s="558"/>
      <c r="AI30" s="558"/>
      <c r="AJ30" s="558"/>
      <c r="AK30" s="558"/>
      <c r="AL30" s="558"/>
      <c r="AM30" s="558"/>
      <c r="AN30" s="558"/>
      <c r="AO30" s="558"/>
      <c r="AP30" s="558"/>
      <c r="AQ30" s="50"/>
      <c r="AR30" s="50"/>
      <c r="AS30" s="559"/>
      <c r="AT30" s="129"/>
      <c r="AU30" s="129"/>
      <c r="AV30" s="129"/>
      <c r="AW30" s="129"/>
      <c r="AX30" s="129"/>
      <c r="AY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55"/>
      <c r="AK31" s="555"/>
      <c r="AL31" s="555"/>
      <c r="AM31" s="555"/>
      <c r="AN31" s="555"/>
      <c r="AO31" s="555"/>
      <c r="AP31" s="555"/>
      <c r="AQ31" s="555"/>
      <c r="AR31" s="50"/>
      <c r="AY31" s="50">
        <v>0</v>
      </c>
    </row>
    <row r="32" s="184" customFormat="1" ht="18.75" customHeight="1">
      <c r="A32" s="151"/>
      <c r="B32" s="151"/>
      <c r="C32" s="151"/>
      <c r="D32" s="151"/>
      <c r="E32" s="151"/>
      <c r="F32" s="151"/>
      <c r="G32" s="151"/>
      <c r="H32" s="151"/>
      <c r="I32" s="151"/>
      <c r="J32" s="151"/>
      <c r="K32" s="151"/>
      <c r="L32" s="495"/>
      <c r="M32" s="151"/>
      <c r="N32" s="151"/>
      <c r="O32" s="151"/>
      <c r="S32" s="556" t="s">
        <v>425</v>
      </c>
      <c r="T32" s="556"/>
      <c r="U32" s="557"/>
      <c r="V32" s="560" t="str">
        <f>IF(TITLE_DATE_PR_CHANGE="",IF(TITLE_DATE_PR="","",TITLE_DATE_PR),TITLE_DATE_PR_CHANGE)</f>
        <v>45406</v>
      </c>
      <c r="W32" s="560"/>
      <c r="X32" s="560"/>
      <c r="Y32" s="560"/>
      <c r="Z32" s="560"/>
      <c r="AA32" s="560"/>
      <c r="AB32" s="560"/>
      <c r="AC32" s="560"/>
      <c r="AD32" s="560"/>
      <c r="AE32" s="560"/>
      <c r="AF32" s="50"/>
      <c r="AG32" s="560" t="str">
        <f>IF(TITLE_DATE_PR_CHANGE="",IF(TITLE_DATE_PR="","",TITLE_DATE_PR),TITLE_DATE_PR_CHANGE)</f>
        <v>45406</v>
      </c>
      <c r="AH32" s="560"/>
      <c r="AI32" s="560"/>
      <c r="AJ32" s="560"/>
      <c r="AK32" s="560"/>
      <c r="AL32" s="560"/>
      <c r="AM32" s="560"/>
      <c r="AN32" s="560"/>
      <c r="AO32" s="560"/>
      <c r="AP32" s="560"/>
      <c r="AQ32" s="50"/>
      <c r="AR32" s="50"/>
      <c r="AS32" s="559"/>
      <c r="AT32" s="129"/>
      <c r="AU32" s="129"/>
      <c r="AV32" s="129"/>
      <c r="AW32" s="129"/>
      <c r="AX32" s="129"/>
      <c r="AY32" s="184">
        <v>0</v>
      </c>
    </row>
    <row r="33" s="184" customFormat="1" ht="18.75" customHeight="1">
      <c r="A33" s="151"/>
      <c r="B33" s="151"/>
      <c r="C33" s="151"/>
      <c r="D33" s="151"/>
      <c r="E33" s="151"/>
      <c r="F33" s="151"/>
      <c r="G33" s="151"/>
      <c r="H33" s="151"/>
      <c r="I33" s="151"/>
      <c r="J33" s="151"/>
      <c r="K33" s="151"/>
      <c r="L33" s="495"/>
      <c r="M33" s="151"/>
      <c r="N33" s="151"/>
      <c r="O33" s="151"/>
      <c r="S33" s="556" t="s">
        <v>426</v>
      </c>
      <c r="T33" s="556"/>
      <c r="U33" s="557"/>
      <c r="V33" s="558" t="str">
        <f>IF(TITLE_NUMBER_PR_CHANGE="",IF(TITLE_NUMBER_PR="","",TITLE_NUMBER_PR),TITLE_NUMBER_PR_CHANGE)</f>
        <v>ПГ/01/950</v>
      </c>
      <c r="W33" s="558"/>
      <c r="X33" s="558"/>
      <c r="Y33" s="558"/>
      <c r="Z33" s="558"/>
      <c r="AA33" s="558"/>
      <c r="AB33" s="558"/>
      <c r="AC33" s="558"/>
      <c r="AD33" s="558"/>
      <c r="AE33" s="558"/>
      <c r="AF33" s="50"/>
      <c r="AG33" s="558" t="str">
        <f>IF(TITLE_NUMBER_PR_CHANGE="",IF(TITLE_NUMBER_PR="","",TITLE_NUMBER_PR),TITLE_NUMBER_PR_CHANGE)</f>
        <v>ПГ/01/950</v>
      </c>
      <c r="AH33" s="558"/>
      <c r="AI33" s="558"/>
      <c r="AJ33" s="558"/>
      <c r="AK33" s="558"/>
      <c r="AL33" s="558"/>
      <c r="AM33" s="558"/>
      <c r="AN33" s="558"/>
      <c r="AO33" s="558"/>
      <c r="AP33" s="558"/>
      <c r="AQ33" s="50"/>
      <c r="AR33" s="50"/>
      <c r="AS33" s="559"/>
      <c r="AT33" s="129"/>
      <c r="AU33" s="129"/>
      <c r="AV33" s="129"/>
      <c r="AW33" s="129"/>
      <c r="AX33" s="129"/>
      <c r="AY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0"/>
      <c r="AC34" s="50"/>
      <c r="AD34" s="50"/>
      <c r="AE34" s="50"/>
      <c r="AF34" s="57" t="s">
        <v>427</v>
      </c>
      <c r="AG34" s="50"/>
      <c r="AH34" s="50"/>
      <c r="AI34" s="50"/>
      <c r="AJ34" s="50"/>
      <c r="AK34" s="50"/>
      <c r="AL34" s="50"/>
      <c r="AM34" s="50"/>
      <c r="AN34" s="50"/>
      <c r="AO34" s="50"/>
      <c r="AP34" s="50"/>
      <c r="AQ34" s="57" t="s">
        <v>427</v>
      </c>
      <c r="AT34" s="129"/>
      <c r="AU34" s="129"/>
      <c r="AV34" s="129"/>
      <c r="AW34" s="129"/>
      <c r="AX34" s="129"/>
      <c r="AY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J35" s="562"/>
      <c r="AK35" s="562"/>
      <c r="AL35" s="562"/>
      <c r="AM35" s="562"/>
      <c r="AN35" s="562"/>
      <c r="AO35" s="562"/>
      <c r="AP35" s="562"/>
      <c r="AQ35" s="562"/>
      <c r="AY35" s="50">
        <v>14</v>
      </c>
    </row>
    <row r="36" ht="14.65" customHeight="1">
      <c r="Q36" s="553"/>
      <c r="R36" s="553"/>
      <c r="S36" s="157" t="s">
        <v>302</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303</v>
      </c>
      <c r="AY36" s="50">
        <v>14</v>
      </c>
    </row>
    <row r="37" ht="14.65" customHeight="1">
      <c r="Q37" s="553"/>
      <c r="R37" s="553"/>
      <c r="S37" s="498" t="s">
        <v>88</v>
      </c>
      <c r="T37" s="362" t="s">
        <v>428</v>
      </c>
      <c r="U37" s="563"/>
      <c r="V37" s="564" t="s">
        <v>429</v>
      </c>
      <c r="W37" s="565"/>
      <c r="X37" s="565"/>
      <c r="Y37" s="565"/>
      <c r="Z37" s="565"/>
      <c r="AA37" s="565"/>
      <c r="AB37" s="565"/>
      <c r="AC37" s="565"/>
      <c r="AD37" s="565"/>
      <c r="AE37" s="566"/>
      <c r="AF37" s="567" t="s">
        <v>430</v>
      </c>
      <c r="AG37" s="564" t="s">
        <v>429</v>
      </c>
      <c r="AH37" s="565"/>
      <c r="AI37" s="565"/>
      <c r="AJ37" s="565"/>
      <c r="AK37" s="565"/>
      <c r="AL37" s="565"/>
      <c r="AM37" s="565"/>
      <c r="AN37" s="565"/>
      <c r="AO37" s="565"/>
      <c r="AP37" s="566"/>
      <c r="AQ37" s="567" t="s">
        <v>431</v>
      </c>
      <c r="AR37" s="568" t="s">
        <v>432</v>
      </c>
      <c r="AS37" s="157"/>
      <c r="AY37" s="50">
        <v>14</v>
      </c>
    </row>
    <row r="38" s="50" customFormat="1" ht="19.949999999999999" customHeight="1">
      <c r="A38" s="53"/>
      <c r="B38" s="53"/>
      <c r="C38" s="53"/>
      <c r="D38" s="53"/>
      <c r="E38" s="53"/>
      <c r="F38" s="53"/>
      <c r="G38" s="53"/>
      <c r="H38" s="53"/>
      <c r="I38" s="53"/>
      <c r="J38" s="53"/>
      <c r="K38" s="53"/>
      <c r="L38" s="113"/>
      <c r="M38" s="61"/>
      <c r="N38" s="61"/>
      <c r="O38" s="61"/>
      <c r="P38" s="60"/>
      <c r="Q38" s="553"/>
      <c r="R38" s="553"/>
      <c r="S38" s="498"/>
      <c r="T38" s="362"/>
      <c r="U38" s="569"/>
      <c r="V38" s="157" t="s">
        <v>534</v>
      </c>
      <c r="W38" s="761" t="s">
        <v>535</v>
      </c>
      <c r="X38" s="761"/>
      <c r="Y38" s="761"/>
      <c r="Z38" s="761" t="s">
        <v>536</v>
      </c>
      <c r="AA38" s="761"/>
      <c r="AB38" s="761"/>
      <c r="AC38" s="321" t="s">
        <v>436</v>
      </c>
      <c r="AD38" s="640"/>
      <c r="AE38" s="322"/>
      <c r="AF38" s="571"/>
      <c r="AG38" s="157" t="s">
        <v>534</v>
      </c>
      <c r="AH38" s="761" t="s">
        <v>535</v>
      </c>
      <c r="AI38" s="761"/>
      <c r="AJ38" s="761"/>
      <c r="AK38" s="761" t="s">
        <v>536</v>
      </c>
      <c r="AL38" s="761"/>
      <c r="AM38" s="761"/>
      <c r="AN38" s="321" t="s">
        <v>436</v>
      </c>
      <c r="AO38" s="640"/>
      <c r="AP38" s="322"/>
      <c r="AQ38" s="571"/>
      <c r="AR38" s="572"/>
      <c r="AS38" s="157"/>
      <c r="AT38" s="57"/>
      <c r="AU38" s="57"/>
      <c r="AV38" s="57"/>
      <c r="AW38" s="57"/>
      <c r="AX38" s="57"/>
      <c r="AY38" s="50">
        <v>19</v>
      </c>
    </row>
    <row r="39" ht="19.949999999999999" customHeight="1">
      <c r="Q39" s="553"/>
      <c r="R39" s="553"/>
      <c r="S39" s="498"/>
      <c r="T39" s="362"/>
      <c r="U39" s="569"/>
      <c r="V39" s="157"/>
      <c r="W39" s="761" t="s">
        <v>537</v>
      </c>
      <c r="X39" s="761" t="s">
        <v>538</v>
      </c>
      <c r="Y39" s="761"/>
      <c r="Z39" s="761" t="s">
        <v>539</v>
      </c>
      <c r="AA39" s="761" t="s">
        <v>538</v>
      </c>
      <c r="AB39" s="761"/>
      <c r="AC39" s="327"/>
      <c r="AD39" s="641"/>
      <c r="AE39" s="328"/>
      <c r="AF39" s="571"/>
      <c r="AG39" s="157"/>
      <c r="AH39" s="761" t="s">
        <v>537</v>
      </c>
      <c r="AI39" s="761" t="s">
        <v>538</v>
      </c>
      <c r="AJ39" s="761"/>
      <c r="AK39" s="761" t="s">
        <v>539</v>
      </c>
      <c r="AL39" s="761" t="s">
        <v>538</v>
      </c>
      <c r="AM39" s="761"/>
      <c r="AN39" s="327"/>
      <c r="AO39" s="641"/>
      <c r="AP39" s="328"/>
      <c r="AQ39" s="571"/>
      <c r="AR39" s="572"/>
      <c r="AS39" s="157"/>
      <c r="AY39" s="50">
        <v>19</v>
      </c>
    </row>
    <row r="40" ht="61.950000000000003" customHeight="1">
      <c r="A40" s="151"/>
      <c r="B40" s="151" t="s">
        <v>135</v>
      </c>
      <c r="C40" s="151" t="s">
        <v>136</v>
      </c>
      <c r="D40" s="151" t="s">
        <v>137</v>
      </c>
      <c r="E40" s="495" t="s">
        <v>437</v>
      </c>
      <c r="F40" s="495" t="s">
        <v>438</v>
      </c>
      <c r="G40" s="495" t="s">
        <v>439</v>
      </c>
      <c r="H40" s="495"/>
      <c r="I40" s="495" t="s">
        <v>489</v>
      </c>
      <c r="J40" s="495" t="s">
        <v>442</v>
      </c>
      <c r="K40" s="495" t="s">
        <v>490</v>
      </c>
      <c r="L40" s="495" t="s">
        <v>418</v>
      </c>
      <c r="Q40" s="553"/>
      <c r="R40" s="553"/>
      <c r="S40" s="498"/>
      <c r="T40" s="362"/>
      <c r="U40" s="573"/>
      <c r="V40" s="157"/>
      <c r="W40" s="761"/>
      <c r="X40" s="761" t="s">
        <v>540</v>
      </c>
      <c r="Y40" s="761" t="s">
        <v>541</v>
      </c>
      <c r="Z40" s="761"/>
      <c r="AA40" s="761" t="s">
        <v>542</v>
      </c>
      <c r="AB40" s="761" t="s">
        <v>543</v>
      </c>
      <c r="AC40" s="246" t="s">
        <v>446</v>
      </c>
      <c r="AD40" s="429" t="s">
        <v>447</v>
      </c>
      <c r="AE40" s="431"/>
      <c r="AF40" s="575"/>
      <c r="AG40" s="157"/>
      <c r="AH40" s="761"/>
      <c r="AI40" s="761" t="s">
        <v>540</v>
      </c>
      <c r="AJ40" s="761" t="s">
        <v>541</v>
      </c>
      <c r="AK40" s="761"/>
      <c r="AL40" s="761" t="s">
        <v>542</v>
      </c>
      <c r="AM40" s="761" t="s">
        <v>543</v>
      </c>
      <c r="AN40" s="246" t="s">
        <v>446</v>
      </c>
      <c r="AO40" s="429" t="s">
        <v>447</v>
      </c>
      <c r="AP40" s="431"/>
      <c r="AQ40" s="575"/>
      <c r="AR40" s="576"/>
      <c r="AS40" s="157"/>
      <c r="AY40" s="50">
        <v>59</v>
      </c>
    </row>
    <row r="41" s="131" customFormat="1" ht="11.25" hidden="1" customHeight="1">
      <c r="A41" s="151"/>
      <c r="B41" s="151"/>
      <c r="C41" s="151"/>
      <c r="D41" s="151"/>
      <c r="E41" s="151"/>
      <c r="F41" s="151"/>
      <c r="G41" s="151"/>
      <c r="H41" s="151"/>
      <c r="I41" s="151"/>
      <c r="J41" s="151"/>
      <c r="K41" s="151"/>
      <c r="L41" s="495"/>
      <c r="M41" s="61"/>
      <c r="N41" s="61"/>
      <c r="O41" s="61"/>
      <c r="P41" s="577"/>
      <c r="Q41" s="578"/>
      <c r="R41" s="579">
        <v>1</v>
      </c>
      <c r="S41" s="580" t="s">
        <v>109</v>
      </c>
      <c r="T41" s="581" t="s">
        <v>110</v>
      </c>
      <c r="U41" s="582" t="str">
        <f ca="1">OFFSET(U41,0,-1)</f>
        <v>2</v>
      </c>
      <c r="V41" s="583">
        <f ca="1">OFFSET(V41,0,-1)+1</f>
        <v>3</v>
      </c>
      <c r="W41" s="583"/>
      <c r="X41" s="583"/>
      <c r="Y41" s="583"/>
      <c r="Z41" s="583"/>
      <c r="AA41" s="583"/>
      <c r="AB41" s="583">
        <f ca="1">OFFSET(AB41,0,-1)+1</f>
        <v>1</v>
      </c>
      <c r="AC41" s="583">
        <f ca="1">OFFSET(AC41,0,-1)+1</f>
        <v>2</v>
      </c>
      <c r="AD41" s="583">
        <f ca="1">OFFSET(AD41,0,-1)+1</f>
        <v>3</v>
      </c>
      <c r="AE41" s="583"/>
      <c r="AF41" s="583">
        <f ca="1">OFFSET(AF41,0,-2)+1</f>
        <v>4</v>
      </c>
      <c r="AG41" s="583">
        <f ca="1">OFFSET(AG41,0,-1)+1</f>
        <v>5</v>
      </c>
      <c r="AH41" s="583"/>
      <c r="AI41" s="583"/>
      <c r="AJ41" s="583"/>
      <c r="AK41" s="583"/>
      <c r="AL41" s="583"/>
      <c r="AM41" s="583">
        <f ca="1">OFFSET(AM41,0,-1)+1</f>
        <v>1</v>
      </c>
      <c r="AN41" s="583">
        <f ca="1">OFFSET(AN41,0,-1)+1</f>
        <v>2</v>
      </c>
      <c r="AO41" s="583">
        <f ca="1">OFFSET(AO41,0,-1)+1</f>
        <v>3</v>
      </c>
      <c r="AP41" s="583"/>
      <c r="AQ41" s="583">
        <f ca="1">OFFSET(AQ41,0,-2)+1</f>
        <v>4</v>
      </c>
      <c r="AR41" s="582">
        <f ca="1">OFFSET(AR41,0,-1)</f>
        <v>4</v>
      </c>
      <c r="AS41" s="583">
        <f ca="1">OFFSET(AS41,0,-1)+1</f>
        <v>5</v>
      </c>
      <c r="AT41" s="57"/>
      <c r="AU41" s="57"/>
      <c r="AV41" s="57"/>
      <c r="AW41" s="57"/>
      <c r="AX41" s="57"/>
      <c r="AY41" s="131">
        <v>0</v>
      </c>
    </row>
    <row r="42" ht="24" customHeight="1">
      <c r="A42" s="493" t="s">
        <v>258</v>
      </c>
      <c r="B42" s="493"/>
      <c r="C42" s="493"/>
      <c r="D42" s="493"/>
      <c r="E42" s="494">
        <v>1</v>
      </c>
      <c r="F42" s="493"/>
      <c r="G42" s="493"/>
      <c r="H42" s="493"/>
      <c r="I42" s="493"/>
      <c r="J42" s="493"/>
      <c r="K42" s="493"/>
      <c r="L42" s="495"/>
      <c r="M42" s="496"/>
      <c r="N42" s="496"/>
      <c r="O42" s="496"/>
      <c r="P42" s="60"/>
      <c r="Q42" s="143"/>
      <c r="R42" s="497"/>
      <c r="S42" s="498">
        <f>INDEX(PT_DIFFERENTIATION_NUM_NTAR,MATCH(A42,PT_DIFFERENTIATION_NTAR_ID,0))</f>
        <v>0</v>
      </c>
      <c r="T42" s="499" t="s">
        <v>123</v>
      </c>
      <c r="U42" s="500"/>
      <c r="V42" s="501"/>
      <c r="W42" s="502"/>
      <c r="X42" s="502"/>
      <c r="Y42" s="502"/>
      <c r="Z42" s="502"/>
      <c r="AA42" s="502"/>
      <c r="AB42" s="502"/>
      <c r="AC42" s="502"/>
      <c r="AD42" s="502"/>
      <c r="AE42" s="502"/>
      <c r="AF42" s="503"/>
      <c r="AG42" s="501" t="str">
        <f>INDEX(PT_DIFFERENTIATION_NTAR,MATCH(A42,PT_DIFFERENTIATION_NTAR_ID,0))</f>
        <v/>
      </c>
      <c r="AH42" s="502"/>
      <c r="AI42" s="502"/>
      <c r="AJ42" s="502"/>
      <c r="AK42" s="502"/>
      <c r="AL42" s="502"/>
      <c r="AM42" s="502"/>
      <c r="AN42" s="502"/>
      <c r="AO42" s="502"/>
      <c r="AP42" s="502"/>
      <c r="AQ42" s="502"/>
      <c r="AR42" s="503"/>
      <c r="AS4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9"/>
      <c r="AV42" s="129" t="str">
        <f t="shared" si="44"/>
        <v xml:space="preserve">Наименование тарифа</v>
      </c>
      <c r="AW42" s="129"/>
      <c r="AX42" s="129"/>
      <c r="AY42" s="50">
        <v>23</v>
      </c>
    </row>
    <row r="43" ht="24" customHeight="1">
      <c r="A43" s="493" t="s">
        <v>258</v>
      </c>
      <c r="B43" s="493" t="s">
        <v>259</v>
      </c>
      <c r="C43" s="493"/>
      <c r="D43" s="493"/>
      <c r="E43" s="505"/>
      <c r="F43" s="494">
        <v>1</v>
      </c>
      <c r="G43" s="493"/>
      <c r="H43" s="493"/>
      <c r="I43" s="493"/>
      <c r="J43" s="493"/>
      <c r="K43" s="493"/>
      <c r="L43" s="495"/>
      <c r="M43" s="496"/>
      <c r="N43" s="496"/>
      <c r="O43" s="496"/>
      <c r="P43" s="51"/>
      <c r="Q43" s="506"/>
      <c r="R43" s="507"/>
      <c r="S43" s="498" t="str">
        <f>INDEX(PT_DIFFERENTIATION_NUM_TER,MATCH(B43,PT_DIFFERENTIATION_TER_ID,0))</f>
        <v>.</v>
      </c>
      <c r="T43" s="508" t="s">
        <v>399</v>
      </c>
      <c r="U43" s="500"/>
      <c r="V43" s="501"/>
      <c r="W43" s="502"/>
      <c r="X43" s="502"/>
      <c r="Y43" s="502"/>
      <c r="Z43" s="502"/>
      <c r="AA43" s="502"/>
      <c r="AB43" s="502"/>
      <c r="AC43" s="502"/>
      <c r="AD43" s="502"/>
      <c r="AE43" s="502"/>
      <c r="AF43" s="503"/>
      <c r="AG43" s="501" t="str">
        <f>INDEX(PT_DIFFERENTIATION_TER,MATCH(B43,PT_DIFFERENTIATION_TER_ID,0))</f>
        <v/>
      </c>
      <c r="AH43" s="502"/>
      <c r="AI43" s="502"/>
      <c r="AJ43" s="502"/>
      <c r="AK43" s="502"/>
      <c r="AL43" s="502"/>
      <c r="AM43" s="502"/>
      <c r="AN43" s="502"/>
      <c r="AO43" s="502"/>
      <c r="AP43" s="502"/>
      <c r="AQ43" s="502"/>
      <c r="AR43" s="503"/>
      <c r="AS43" s="504" t="s">
        <v>400</v>
      </c>
      <c r="AU43" s="129"/>
      <c r="AV43" s="129" t="str">
        <f t="shared" si="44"/>
        <v xml:space="preserve">Территория действия тарифа</v>
      </c>
      <c r="AW43" s="129"/>
      <c r="AX43" s="129"/>
      <c r="AY43" s="50">
        <v>23</v>
      </c>
    </row>
    <row r="44" ht="24" customHeight="1">
      <c r="A44" s="493" t="s">
        <v>258</v>
      </c>
      <c r="B44" s="493" t="s">
        <v>259</v>
      </c>
      <c r="C44" s="493" t="s">
        <v>260</v>
      </c>
      <c r="D44" s="493"/>
      <c r="E44" s="505"/>
      <c r="F44" s="505"/>
      <c r="G44" s="494">
        <v>1</v>
      </c>
      <c r="H44" s="493"/>
      <c r="I44" s="493"/>
      <c r="J44" s="493"/>
      <c r="K44" s="493"/>
      <c r="L44" s="495"/>
      <c r="M44" s="496"/>
      <c r="N44" s="496"/>
      <c r="O44" s="496"/>
      <c r="P44" s="509"/>
      <c r="Q44" s="506"/>
      <c r="R44" s="507"/>
      <c r="S44" s="498" t="str">
        <f>INDEX(PT_DIFFERENTIATION_NUM_CS,MATCH(C44,PT_DIFFERENTIATION_CS_ID,0))</f>
        <v>..</v>
      </c>
      <c r="T44" s="510" t="s">
        <v>532</v>
      </c>
      <c r="U44" s="500"/>
      <c r="V44" s="501"/>
      <c r="W44" s="502"/>
      <c r="X44" s="502"/>
      <c r="Y44" s="502"/>
      <c r="Z44" s="502"/>
      <c r="AA44" s="502"/>
      <c r="AB44" s="502"/>
      <c r="AC44" s="502"/>
      <c r="AD44" s="502"/>
      <c r="AE44" s="502"/>
      <c r="AF44" s="503"/>
      <c r="AG44" s="501" t="str">
        <f>INDEX(PT_DIFFERENTIATION_CS,MATCH(C44,PT_DIFFERENTIATION_CS_ID,0))</f>
        <v/>
      </c>
      <c r="AH44" s="502"/>
      <c r="AI44" s="502"/>
      <c r="AJ44" s="502"/>
      <c r="AK44" s="502"/>
      <c r="AL44" s="502"/>
      <c r="AM44" s="502"/>
      <c r="AN44" s="502"/>
      <c r="AO44" s="502"/>
      <c r="AP44" s="502"/>
      <c r="AQ44" s="502"/>
      <c r="AR44" s="503"/>
      <c r="AS44" s="504" t="s">
        <v>533</v>
      </c>
      <c r="AU44" s="129"/>
      <c r="AV44" s="129" t="str">
        <f t="shared" si="44"/>
        <v xml:space="preserve">Наименование централизованной системы горячего водоснабжения</v>
      </c>
      <c r="AW44" s="129"/>
      <c r="AX44" s="129"/>
      <c r="AY44" s="50">
        <v>23</v>
      </c>
    </row>
    <row r="45" ht="24" customHeight="1">
      <c r="A45" s="493" t="s">
        <v>258</v>
      </c>
      <c r="B45" s="493" t="s">
        <v>259</v>
      </c>
      <c r="C45" s="493" t="s">
        <v>260</v>
      </c>
      <c r="D45" s="493" t="s">
        <v>545</v>
      </c>
      <c r="E45" s="505"/>
      <c r="F45" s="505"/>
      <c r="G45" s="505"/>
      <c r="H45" s="505"/>
      <c r="I45" s="512" t="str">
        <f>S44&amp;".1"</f>
        <v>...1</v>
      </c>
      <c r="J45" s="493"/>
      <c r="K45" s="493"/>
      <c r="L45" s="495"/>
      <c r="P45" s="132">
        <v>1</v>
      </c>
      <c r="Q45" s="132"/>
      <c r="R45" s="513"/>
      <c r="S45" s="498" t="str">
        <f>$I45</f>
        <v>...1</v>
      </c>
      <c r="T45" s="514" t="s">
        <v>482</v>
      </c>
      <c r="U45" s="500"/>
      <c r="V45" s="689"/>
      <c r="W45" s="690"/>
      <c r="X45" s="690"/>
      <c r="Y45" s="690"/>
      <c r="Z45" s="690"/>
      <c r="AA45" s="690"/>
      <c r="AB45" s="690"/>
      <c r="AC45" s="690"/>
      <c r="AD45" s="690"/>
      <c r="AE45" s="690"/>
      <c r="AF45" s="691"/>
      <c r="AG45" s="692"/>
      <c r="AH45" s="693"/>
      <c r="AI45" s="693"/>
      <c r="AJ45" s="693"/>
      <c r="AK45" s="693"/>
      <c r="AL45" s="693"/>
      <c r="AM45" s="693"/>
      <c r="AN45" s="693"/>
      <c r="AO45" s="693"/>
      <c r="AP45" s="693"/>
      <c r="AQ45" s="693"/>
      <c r="AR45" s="694"/>
      <c r="AS45" s="504" t="s">
        <v>483</v>
      </c>
      <c r="AU45" s="129"/>
      <c r="AV45" s="129" t="str">
        <f t="shared" si="44"/>
        <v xml:space="preserve">Наименование признака дифференциации</v>
      </c>
      <c r="AW45" s="129"/>
      <c r="AX45" s="129"/>
      <c r="AY45" s="50">
        <v>23</v>
      </c>
    </row>
    <row r="46" ht="24" customHeight="1">
      <c r="A46" s="493" t="s">
        <v>258</v>
      </c>
      <c r="B46" s="493" t="s">
        <v>259</v>
      </c>
      <c r="C46" s="493" t="s">
        <v>260</v>
      </c>
      <c r="D46" s="493" t="s">
        <v>545</v>
      </c>
      <c r="E46" s="505"/>
      <c r="F46" s="505"/>
      <c r="G46" s="505"/>
      <c r="H46" s="505"/>
      <c r="I46" s="517"/>
      <c r="J46" s="512" t="str">
        <f>I45&amp;".1"</f>
        <v>...1.1</v>
      </c>
      <c r="K46" s="493"/>
      <c r="L46" s="495" t="s">
        <v>408</v>
      </c>
      <c r="P46" s="132"/>
      <c r="Q46" s="132">
        <v>1</v>
      </c>
      <c r="R46" s="518"/>
      <c r="S46" s="498" t="str">
        <f>$J46</f>
        <v>...1.1</v>
      </c>
      <c r="T46" s="519" t="s">
        <v>409</v>
      </c>
      <c r="U46" s="500"/>
      <c r="V46" s="445"/>
      <c r="W46" s="515"/>
      <c r="X46" s="515"/>
      <c r="Y46" s="515"/>
      <c r="Z46" s="515"/>
      <c r="AA46" s="515"/>
      <c r="AB46" s="515"/>
      <c r="AC46" s="515"/>
      <c r="AD46" s="515"/>
      <c r="AE46" s="515"/>
      <c r="AF46" s="516"/>
      <c r="AG46" s="445"/>
      <c r="AH46" s="515"/>
      <c r="AI46" s="515"/>
      <c r="AJ46" s="515"/>
      <c r="AK46" s="515"/>
      <c r="AL46" s="515"/>
      <c r="AM46" s="515"/>
      <c r="AN46" s="515"/>
      <c r="AO46" s="515"/>
      <c r="AP46" s="515"/>
      <c r="AQ46" s="515"/>
      <c r="AR46" s="516"/>
      <c r="AS46" s="631" t="s">
        <v>484</v>
      </c>
      <c r="AU46" s="129"/>
      <c r="AV46" s="129" t="str">
        <f t="shared" si="44"/>
        <v xml:space="preserve">Группа потребителей</v>
      </c>
      <c r="AW46" s="129"/>
      <c r="AX46" s="129"/>
      <c r="AY46" s="50">
        <v>23</v>
      </c>
    </row>
    <row r="47" ht="24" customHeight="1">
      <c r="A47" s="493" t="s">
        <v>258</v>
      </c>
      <c r="B47" s="493" t="s">
        <v>259</v>
      </c>
      <c r="C47" s="493" t="s">
        <v>260</v>
      </c>
      <c r="D47" s="493" t="s">
        <v>545</v>
      </c>
      <c r="E47" s="505"/>
      <c r="F47" s="505"/>
      <c r="G47" s="505"/>
      <c r="H47" s="505"/>
      <c r="I47" s="517"/>
      <c r="J47" s="517"/>
      <c r="K47" s="512" t="str">
        <f>J46&amp;".1"</f>
        <v>...1.1.1</v>
      </c>
      <c r="L47" s="495"/>
      <c r="P47" s="132"/>
      <c r="Q47" s="132"/>
      <c r="R47" s="518">
        <v>1</v>
      </c>
      <c r="S47" s="498" t="str">
        <f>$K47</f>
        <v>...1.1.1</v>
      </c>
      <c r="T47" s="695"/>
      <c r="U47" s="500"/>
      <c r="V47" s="547"/>
      <c r="W47" s="547"/>
      <c r="X47" s="547"/>
      <c r="Y47" s="547"/>
      <c r="Z47" s="547"/>
      <c r="AA47" s="547"/>
      <c r="AB47" s="548"/>
      <c r="AC47" s="549"/>
      <c r="AD47" s="550" t="s">
        <v>66</v>
      </c>
      <c r="AE47" s="549"/>
      <c r="AF47" s="550" t="s">
        <v>66</v>
      </c>
      <c r="AG47" s="521"/>
      <c r="AH47" s="521"/>
      <c r="AI47" s="521"/>
      <c r="AJ47" s="521"/>
      <c r="AK47" s="521"/>
      <c r="AL47" s="521"/>
      <c r="AM47" s="523"/>
      <c r="AN47" s="524"/>
      <c r="AO47" s="224" t="s">
        <v>66</v>
      </c>
      <c r="AP47" s="584"/>
      <c r="AQ47" s="224" t="s">
        <v>19</v>
      </c>
      <c r="AR47" s="696"/>
      <c r="AS4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4"/>
        <v/>
      </c>
      <c r="AW47" s="129"/>
      <c r="AX47" s="129"/>
      <c r="AY47" s="50">
        <v>23</v>
      </c>
    </row>
    <row r="48" ht="0" customHeight="1">
      <c r="A48" s="493" t="s">
        <v>258</v>
      </c>
      <c r="B48" s="493" t="s">
        <v>259</v>
      </c>
      <c r="C48" s="493" t="s">
        <v>260</v>
      </c>
      <c r="D48" s="493" t="s">
        <v>545</v>
      </c>
      <c r="E48" s="505"/>
      <c r="F48" s="505"/>
      <c r="G48" s="505"/>
      <c r="H48" s="505"/>
      <c r="I48" s="517"/>
      <c r="J48" s="517"/>
      <c r="K48" s="512"/>
      <c r="L48" s="495"/>
      <c r="P48" s="132"/>
      <c r="Q48" s="132"/>
      <c r="R48" s="518"/>
      <c r="S48" s="472"/>
      <c r="T48" s="500"/>
      <c r="U48" s="500"/>
      <c r="V48" s="547"/>
      <c r="W48" s="547"/>
      <c r="X48" s="547"/>
      <c r="Y48" s="547"/>
      <c r="Z48" s="547"/>
      <c r="AA48" s="547"/>
      <c r="AB48" s="526" t="str">
        <f>AC47&amp;"-"&amp;AE47</f>
        <v>-</v>
      </c>
      <c r="AC48" s="550"/>
      <c r="AD48" s="550"/>
      <c r="AE48" s="550"/>
      <c r="AF48" s="550"/>
      <c r="AG48" s="522"/>
      <c r="AH48" s="522"/>
      <c r="AI48" s="522"/>
      <c r="AJ48" s="522"/>
      <c r="AK48" s="522"/>
      <c r="AL48" s="522"/>
      <c r="AM48" s="526" t="str">
        <f>AN47&amp;"-"&amp;AP47</f>
        <v>-</v>
      </c>
      <c r="AN48" s="527"/>
      <c r="AO48" s="224"/>
      <c r="AP48" s="586"/>
      <c r="AQ48" s="224"/>
      <c r="AR48" s="698"/>
      <c r="AS48" s="697"/>
      <c r="AU48" s="129"/>
      <c r="AV48" s="129" t="str">
        <f t="shared" si="44"/>
        <v/>
      </c>
      <c r="AW48" s="129"/>
      <c r="AX48" s="129"/>
      <c r="AY48" s="50">
        <v>0</v>
      </c>
    </row>
    <row r="49" ht="21" customHeight="1">
      <c r="A49" s="493" t="s">
        <v>258</v>
      </c>
      <c r="B49" s="493" t="s">
        <v>259</v>
      </c>
      <c r="C49" s="493" t="s">
        <v>260</v>
      </c>
      <c r="D49" s="493" t="s">
        <v>545</v>
      </c>
      <c r="E49" s="505"/>
      <c r="F49" s="505"/>
      <c r="G49" s="505"/>
      <c r="H49" s="505"/>
      <c r="I49" s="517"/>
      <c r="J49" s="512"/>
      <c r="K49" s="493"/>
      <c r="L49" s="495"/>
      <c r="P49" s="132"/>
      <c r="Q49" s="132"/>
      <c r="R49" s="513"/>
      <c r="S49" s="529"/>
      <c r="T49" s="533" t="s">
        <v>485</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504" t="s">
        <v>486</v>
      </c>
      <c r="AU49" s="129"/>
      <c r="AV49" s="129" t="str">
        <f t="shared" si="44"/>
        <v xml:space="preserve">Добавить значение признака дифференциации</v>
      </c>
      <c r="AW49" s="129"/>
      <c r="AX49" s="129"/>
      <c r="AY49" s="50">
        <v>20</v>
      </c>
    </row>
    <row r="50" ht="22" customHeight="1">
      <c r="A50" s="493" t="s">
        <v>258</v>
      </c>
      <c r="B50" s="493" t="s">
        <v>259</v>
      </c>
      <c r="C50" s="493" t="s">
        <v>260</v>
      </c>
      <c r="D50" s="493" t="s">
        <v>545</v>
      </c>
      <c r="E50" s="505"/>
      <c r="F50" s="505"/>
      <c r="G50" s="505"/>
      <c r="H50" s="505"/>
      <c r="I50" s="512"/>
      <c r="J50" s="493"/>
      <c r="K50" s="493"/>
      <c r="L50" s="495"/>
      <c r="P50" s="132"/>
      <c r="Q50" s="132"/>
      <c r="R50" s="513"/>
      <c r="S50" s="529"/>
      <c r="T50" s="537" t="s">
        <v>414</v>
      </c>
      <c r="U50" s="214"/>
      <c r="V50" s="214"/>
      <c r="W50" s="214"/>
      <c r="X50" s="214"/>
      <c r="Y50" s="214"/>
      <c r="Z50" s="214"/>
      <c r="AA50" s="214"/>
      <c r="AB50" s="214"/>
      <c r="AC50" s="214"/>
      <c r="AD50" s="214"/>
      <c r="AE50" s="214"/>
      <c r="AF50" s="534"/>
      <c r="AG50" s="214"/>
      <c r="AH50" s="214"/>
      <c r="AI50" s="214"/>
      <c r="AJ50" s="214"/>
      <c r="AK50" s="214"/>
      <c r="AL50" s="214"/>
      <c r="AM50" s="214"/>
      <c r="AN50" s="214"/>
      <c r="AO50" s="214"/>
      <c r="AP50" s="214"/>
      <c r="AQ50" s="534"/>
      <c r="AR50" s="214"/>
      <c r="AS50" s="699"/>
      <c r="AU50" s="129"/>
      <c r="AV50" s="129" t="str">
        <f t="shared" si="44"/>
        <v xml:space="preserve">Добавить группу потребителей</v>
      </c>
      <c r="AW50" s="129"/>
      <c r="AX50" s="129"/>
      <c r="AY50" s="50">
        <v>21</v>
      </c>
    </row>
    <row r="51" ht="22" customHeight="1">
      <c r="A51" s="493" t="s">
        <v>258</v>
      </c>
      <c r="B51" s="493" t="s">
        <v>259</v>
      </c>
      <c r="C51" s="493" t="s">
        <v>260</v>
      </c>
      <c r="D51" s="493" t="s">
        <v>545</v>
      </c>
      <c r="E51" s="505"/>
      <c r="F51" s="505"/>
      <c r="G51" s="505"/>
      <c r="H51" s="494"/>
      <c r="I51" s="493"/>
      <c r="J51" s="493"/>
      <c r="K51" s="493"/>
      <c r="L51" s="495"/>
      <c r="M51" s="496"/>
      <c r="N51" s="496"/>
      <c r="O51" s="53"/>
      <c r="P51" s="143"/>
      <c r="Q51" s="536"/>
      <c r="R51" s="497"/>
      <c r="S51" s="529"/>
      <c r="T51" s="700" t="s">
        <v>487</v>
      </c>
      <c r="U51" s="214"/>
      <c r="V51" s="214"/>
      <c r="W51" s="214"/>
      <c r="X51" s="214"/>
      <c r="Y51" s="214"/>
      <c r="Z51" s="214"/>
      <c r="AA51" s="214"/>
      <c r="AB51" s="214"/>
      <c r="AC51" s="214"/>
      <c r="AD51" s="214"/>
      <c r="AE51" s="214"/>
      <c r="AF51" s="534"/>
      <c r="AG51" s="214"/>
      <c r="AH51" s="214"/>
      <c r="AI51" s="214"/>
      <c r="AJ51" s="214"/>
      <c r="AK51" s="214"/>
      <c r="AL51" s="214"/>
      <c r="AM51" s="214"/>
      <c r="AN51" s="214"/>
      <c r="AO51" s="214"/>
      <c r="AP51" s="214"/>
      <c r="AQ51" s="534"/>
      <c r="AR51" s="214"/>
      <c r="AS51" s="535"/>
      <c r="AU51" s="129"/>
      <c r="AV51" s="129" t="str">
        <f t="shared" si="44"/>
        <v xml:space="preserve">Добавить наименование признака дифференциации</v>
      </c>
      <c r="AW51" s="129"/>
      <c r="AX51" s="129"/>
      <c r="AY51" s="50">
        <v>21</v>
      </c>
    </row>
    <row r="52" s="57" customFormat="1" ht="0" customHeight="1">
      <c r="A52" s="133" t="s">
        <v>258</v>
      </c>
      <c r="B52" s="133" t="s">
        <v>259</v>
      </c>
      <c r="C52" s="133"/>
      <c r="D52" s="133"/>
      <c r="E52" s="505"/>
      <c r="F52" s="494"/>
      <c r="G52" s="133"/>
      <c r="H52" s="133"/>
      <c r="I52" s="133"/>
      <c r="J52" s="133"/>
      <c r="K52" s="133"/>
      <c r="L52" s="212"/>
      <c r="M52" s="542"/>
      <c r="N52" s="542"/>
      <c r="P52" s="167"/>
      <c r="Q52" s="538"/>
      <c r="R52" s="167"/>
      <c r="S52" s="543"/>
      <c r="T52" s="546" t="s">
        <v>238</v>
      </c>
      <c r="U52" s="545"/>
      <c r="V52" s="545"/>
      <c r="W52" s="545"/>
      <c r="X52" s="545"/>
      <c r="Y52" s="545"/>
      <c r="Z52" s="545"/>
      <c r="AA52" s="545"/>
      <c r="AB52" s="545"/>
      <c r="AC52" s="545"/>
      <c r="AD52" s="545"/>
      <c r="AE52" s="545"/>
      <c r="AF52" s="545"/>
      <c r="AG52" s="545"/>
      <c r="AH52" s="545"/>
      <c r="AI52" s="545"/>
      <c r="AJ52" s="545"/>
      <c r="AK52" s="545"/>
      <c r="AL52" s="545"/>
      <c r="AM52" s="545"/>
      <c r="AN52" s="545"/>
      <c r="AO52" s="545"/>
      <c r="AP52" s="545"/>
      <c r="AQ52" s="545"/>
      <c r="AR52" s="545"/>
      <c r="AS52" s="545"/>
      <c r="AU52" s="129"/>
      <c r="AV52" s="129" t="str">
        <f t="shared" si="44"/>
        <v xml:space="preserve">Добавить централизованную систему для дифференциации</v>
      </c>
      <c r="AW52" s="129"/>
      <c r="AX52" s="129"/>
      <c r="AY52" s="57">
        <v>0</v>
      </c>
    </row>
    <row r="53" s="57" customFormat="1" ht="0" customHeight="1">
      <c r="A53" s="133" t="s">
        <v>258</v>
      </c>
      <c r="B53" s="133"/>
      <c r="C53" s="133"/>
      <c r="D53" s="133"/>
      <c r="E53" s="494"/>
      <c r="F53" s="133"/>
      <c r="G53" s="133"/>
      <c r="H53" s="133"/>
      <c r="I53" s="133"/>
      <c r="J53" s="133"/>
      <c r="K53" s="133"/>
      <c r="L53" s="212"/>
      <c r="M53" s="542"/>
      <c r="N53" s="542"/>
      <c r="O53" s="57"/>
      <c r="P53" s="167"/>
      <c r="Q53" s="538"/>
      <c r="R53" s="167"/>
      <c r="S53" s="543"/>
      <c r="T53" s="546" t="s">
        <v>239</v>
      </c>
      <c r="U53" s="545"/>
      <c r="V53" s="545"/>
      <c r="W53" s="545"/>
      <c r="X53" s="545"/>
      <c r="Y53" s="545"/>
      <c r="Z53" s="545"/>
      <c r="AA53" s="545"/>
      <c r="AB53" s="545"/>
      <c r="AC53" s="545"/>
      <c r="AD53" s="545"/>
      <c r="AE53" s="545"/>
      <c r="AF53" s="545"/>
      <c r="AG53" s="545"/>
      <c r="AH53" s="545"/>
      <c r="AI53" s="545"/>
      <c r="AJ53" s="545"/>
      <c r="AK53" s="545"/>
      <c r="AL53" s="545"/>
      <c r="AM53" s="545"/>
      <c r="AN53" s="545"/>
      <c r="AO53" s="545"/>
      <c r="AP53" s="545"/>
      <c r="AQ53" s="545"/>
      <c r="AR53" s="545"/>
      <c r="AS53" s="545"/>
      <c r="AU53" s="129"/>
      <c r="AV53" s="129" t="str">
        <f t="shared" si="44"/>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42"/>
      <c r="N54" s="542"/>
      <c r="P54" s="167"/>
      <c r="Q54" s="538"/>
      <c r="R54" s="167"/>
      <c r="S54" s="543"/>
      <c r="T54" s="546" t="s">
        <v>240</v>
      </c>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c r="AR54" s="545"/>
      <c r="AS54" s="545"/>
      <c r="AU54" s="129"/>
      <c r="AV54" s="129" t="str">
        <f t="shared" si="44"/>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90"/>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Y56" s="50">
        <v>14</v>
      </c>
    </row>
    <row r="57" ht="14.65" customHeight="1">
      <c r="O57" s="53"/>
      <c r="AY57" s="50">
        <v>14</v>
      </c>
    </row>
    <row r="58" ht="14.65" customHeight="1">
      <c r="O58" s="53"/>
      <c r="S58" s="490"/>
      <c r="T58" s="588"/>
      <c r="U58" s="588"/>
      <c r="V58" s="588"/>
      <c r="W58" s="588"/>
      <c r="X58" s="588"/>
      <c r="Y58" s="588"/>
      <c r="Z58" s="588"/>
      <c r="AA58" s="588"/>
      <c r="AB58" s="588"/>
      <c r="AC58" s="588"/>
      <c r="AD58" s="588"/>
      <c r="AE58" s="588"/>
      <c r="AF58" s="588"/>
      <c r="AG58" s="588"/>
      <c r="AH58" s="588"/>
      <c r="AI58" s="588"/>
      <c r="AJ58" s="588"/>
      <c r="AK58" s="588"/>
      <c r="AL58" s="588"/>
      <c r="AM58" s="588"/>
      <c r="AN58" s="588"/>
      <c r="AO58" s="588"/>
      <c r="AP58" s="588"/>
      <c r="AQ58" s="588"/>
      <c r="AR58" s="588"/>
      <c r="AS58" s="588"/>
      <c r="AY58" s="50">
        <v>14</v>
      </c>
    </row>
    <row r="59" ht="22.5" hidden="1" customHeight="1">
      <c r="A59" s="53" t="s">
        <v>82</v>
      </c>
      <c r="B59" s="53">
        <v>0</v>
      </c>
      <c r="C59" s="53">
        <v>0</v>
      </c>
      <c r="D59" s="53">
        <v>0</v>
      </c>
      <c r="E59" s="53">
        <v>0</v>
      </c>
      <c r="F59" s="53">
        <v>0</v>
      </c>
      <c r="G59" s="53">
        <v>0</v>
      </c>
      <c r="H59" s="53">
        <v>0</v>
      </c>
      <c r="I59" s="53">
        <v>0</v>
      </c>
      <c r="J59" s="53">
        <v>0</v>
      </c>
      <c r="K59" s="53">
        <v>0</v>
      </c>
      <c r="L59" s="113">
        <v>0</v>
      </c>
      <c r="M59" s="61">
        <v>0</v>
      </c>
      <c r="N59" s="61">
        <v>0</v>
      </c>
      <c r="O59" s="61">
        <v>0</v>
      </c>
      <c r="P59" s="60">
        <v>3</v>
      </c>
      <c r="Q59" s="492">
        <v>3</v>
      </c>
      <c r="R59" s="492">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isablePrompts="0">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8000C-000C-45DE-9D44-009C004C00D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0D00BE-00C0-48C9-9A8B-00FC00F50088}"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FC00B8-0013-4C74-AB9F-0006000C005E}"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A00048-007E-4AC7-8EAE-00F600E200A8}"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2" width="3.7109375"/>
    <col customWidth="1" min="18" max="18" style="492"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3"/>
      <c r="B2" s="493"/>
      <c r="C2" s="493"/>
      <c r="D2" s="493"/>
      <c r="E2" s="494">
        <v>1</v>
      </c>
      <c r="F2" s="493"/>
      <c r="G2" s="493"/>
      <c r="H2" s="493"/>
      <c r="I2" s="493"/>
      <c r="J2" s="493"/>
      <c r="K2" s="493"/>
      <c r="L2" s="495"/>
      <c r="M2" s="496"/>
      <c r="N2" s="496"/>
      <c r="O2" s="496"/>
      <c r="P2" s="61"/>
      <c r="Q2" s="64"/>
      <c r="R2" s="497"/>
      <c r="S2" s="498" t="e">
        <f>INDEX(PT_DIFFERENTIATION_NUM_NTAR,MATCH(A2,PT_DIFFERENTIATION_NTAR_ID,0))</f>
        <v>#VALUE!</v>
      </c>
      <c r="T2" s="499" t="s">
        <v>123</v>
      </c>
      <c r="U2" s="500"/>
      <c r="V2" s="502"/>
      <c r="W2" s="502"/>
      <c r="X2" s="502"/>
      <c r="Y2" s="502"/>
      <c r="Z2" s="502"/>
      <c r="AA2" s="502"/>
      <c r="AB2" s="502"/>
      <c r="AC2" s="503"/>
      <c r="AD2" s="501" t="e">
        <f>INDEX(PT_DIFFERENTIATION_NTAR,MATCH(A2,PT_DIFFERENTIATION_NTAR_ID,0))</f>
        <v>#VALUE!</v>
      </c>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3"/>
      <c r="BC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45">IF(T2="","",T2)</f>
        <v xml:space="preserve">Наименование тарифа</v>
      </c>
      <c r="BG2" s="129"/>
      <c r="BH2" s="129"/>
      <c r="BI2" s="50">
        <v>0</v>
      </c>
    </row>
    <row r="3" ht="21" hidden="1" customHeight="1">
      <c r="A3" s="493"/>
      <c r="B3" s="493"/>
      <c r="C3" s="493"/>
      <c r="D3" s="493"/>
      <c r="E3" s="505"/>
      <c r="F3" s="494">
        <v>1</v>
      </c>
      <c r="G3" s="493"/>
      <c r="H3" s="493"/>
      <c r="I3" s="493"/>
      <c r="J3" s="493"/>
      <c r="K3" s="493"/>
      <c r="L3" s="495"/>
      <c r="M3" s="496"/>
      <c r="N3" s="496"/>
      <c r="O3" s="496"/>
      <c r="P3" s="113"/>
      <c r="Q3" s="643"/>
      <c r="R3" s="507"/>
      <c r="S3" s="498" t="e">
        <f>INDEX(PT_DIFFERENTIATION_NUM_TER,MATCH(B3,PT_DIFFERENTIATION_TER_ID,0))</f>
        <v>#VALUE!</v>
      </c>
      <c r="T3" s="508" t="s">
        <v>399</v>
      </c>
      <c r="U3" s="500"/>
      <c r="V3" s="502"/>
      <c r="W3" s="502"/>
      <c r="X3" s="502"/>
      <c r="Y3" s="502"/>
      <c r="Z3" s="502"/>
      <c r="AA3" s="502"/>
      <c r="AB3" s="502"/>
      <c r="AC3" s="503"/>
      <c r="AD3" s="501" t="e">
        <f>INDEX(PT_DIFFERENTIATION_TER,MATCH(B3,PT_DIFFERENTIATION_TER_ID,0))</f>
        <v>#VALUE!</v>
      </c>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3"/>
      <c r="BC3" s="504" t="s">
        <v>400</v>
      </c>
      <c r="BE3" s="129"/>
      <c r="BF3" s="129" t="str">
        <f t="shared" si="45"/>
        <v xml:space="preserve">Территория действия тарифа</v>
      </c>
      <c r="BG3" s="129"/>
      <c r="BH3" s="129"/>
      <c r="BI3" s="50">
        <v>0</v>
      </c>
    </row>
    <row r="4" ht="33.75" hidden="1" customHeight="1">
      <c r="A4" s="493"/>
      <c r="B4" s="493"/>
      <c r="C4" s="493"/>
      <c r="D4" s="493"/>
      <c r="E4" s="505"/>
      <c r="F4" s="505"/>
      <c r="G4" s="494">
        <v>1</v>
      </c>
      <c r="H4" s="493"/>
      <c r="I4" s="493"/>
      <c r="J4" s="493"/>
      <c r="K4" s="493"/>
      <c r="L4" s="495"/>
      <c r="M4" s="496"/>
      <c r="N4" s="496"/>
      <c r="O4" s="496"/>
      <c r="P4" s="135"/>
      <c r="Q4" s="643"/>
      <c r="R4" s="507"/>
      <c r="S4" s="498" t="e">
        <f>INDEX(PT_DIFFERENTIATION_NUM_CS,MATCH(C4,PT_DIFFERENTIATION_CS_ID,0))</f>
        <v>#VALUE!</v>
      </c>
      <c r="T4" s="510" t="s">
        <v>532</v>
      </c>
      <c r="U4" s="500"/>
      <c r="V4" s="502"/>
      <c r="W4" s="502"/>
      <c r="X4" s="502"/>
      <c r="Y4" s="502"/>
      <c r="Z4" s="502"/>
      <c r="AA4" s="502"/>
      <c r="AB4" s="502"/>
      <c r="AC4" s="503"/>
      <c r="AD4" s="501" t="e">
        <f>INDEX(PT_DIFFERENTIATION_CS,MATCH(C4,PT_DIFFERENTIATION_CS_ID,0))</f>
        <v>#VALUE!</v>
      </c>
      <c r="AE4" s="502"/>
      <c r="AF4" s="502"/>
      <c r="AG4" s="502"/>
      <c r="AH4" s="502"/>
      <c r="AI4" s="502"/>
      <c r="AJ4" s="502"/>
      <c r="AK4" s="502"/>
      <c r="AL4" s="502"/>
      <c r="AM4" s="502"/>
      <c r="AN4" s="502"/>
      <c r="AO4" s="502"/>
      <c r="AP4" s="502"/>
      <c r="AQ4" s="502"/>
      <c r="AR4" s="502"/>
      <c r="AS4" s="502"/>
      <c r="AT4" s="502"/>
      <c r="AU4" s="502"/>
      <c r="AV4" s="502"/>
      <c r="AW4" s="502"/>
      <c r="AX4" s="502"/>
      <c r="AY4" s="502"/>
      <c r="AZ4" s="502"/>
      <c r="BA4" s="502"/>
      <c r="BB4" s="503"/>
      <c r="BC4" s="504" t="s">
        <v>533</v>
      </c>
      <c r="BE4" s="129"/>
      <c r="BF4" s="129" t="str">
        <f t="shared" si="45"/>
        <v xml:space="preserve">Наименование централизованной системы горячего водоснабжения</v>
      </c>
      <c r="BG4" s="129"/>
      <c r="BH4" s="129"/>
      <c r="BI4" s="50">
        <v>0</v>
      </c>
    </row>
    <row r="5" s="57" customFormat="1" ht="14.25" hidden="1" customHeight="1">
      <c r="A5" s="133"/>
      <c r="B5" s="133"/>
      <c r="C5" s="133"/>
      <c r="D5" s="133"/>
      <c r="E5" s="505"/>
      <c r="F5" s="505"/>
      <c r="G5" s="505"/>
      <c r="H5" s="494">
        <v>1</v>
      </c>
      <c r="I5" s="133"/>
      <c r="J5" s="133"/>
      <c r="K5" s="133"/>
      <c r="L5" s="212"/>
      <c r="M5" s="478"/>
      <c r="N5" s="478"/>
      <c r="O5" s="478"/>
      <c r="P5" s="751"/>
      <c r="Q5" s="752"/>
      <c r="R5" s="518"/>
      <c r="S5" s="366"/>
      <c r="T5" s="753"/>
      <c r="U5" s="601"/>
      <c r="V5" s="603"/>
      <c r="W5" s="603"/>
      <c r="X5" s="603"/>
      <c r="Y5" s="603"/>
      <c r="Z5" s="603"/>
      <c r="AA5" s="603"/>
      <c r="AB5" s="603"/>
      <c r="AC5" s="604"/>
      <c r="AD5" s="602"/>
      <c r="AE5" s="603"/>
      <c r="AF5" s="603"/>
      <c r="AG5" s="603"/>
      <c r="AH5" s="603"/>
      <c r="AI5" s="603"/>
      <c r="AJ5" s="603"/>
      <c r="AK5" s="603"/>
      <c r="AL5" s="603"/>
      <c r="AM5" s="603"/>
      <c r="AN5" s="603"/>
      <c r="AO5" s="603"/>
      <c r="AP5" s="603"/>
      <c r="AQ5" s="603"/>
      <c r="AR5" s="603"/>
      <c r="AS5" s="603"/>
      <c r="AT5" s="603"/>
      <c r="AU5" s="603"/>
      <c r="AV5" s="603"/>
      <c r="AW5" s="603"/>
      <c r="AX5" s="603"/>
      <c r="AY5" s="603"/>
      <c r="AZ5" s="603"/>
      <c r="BA5" s="603"/>
      <c r="BB5" s="604"/>
      <c r="BC5" s="605" t="s">
        <v>404</v>
      </c>
      <c r="BE5" s="129"/>
      <c r="BF5" s="129" t="str">
        <f t="shared" si="45"/>
        <v/>
      </c>
      <c r="BG5" s="129"/>
      <c r="BH5" s="129"/>
      <c r="BI5" s="57">
        <v>0</v>
      </c>
    </row>
    <row r="6" s="57" customFormat="1" ht="14.25" hidden="1" customHeight="1">
      <c r="A6" s="133"/>
      <c r="B6" s="133"/>
      <c r="C6" s="133"/>
      <c r="D6" s="133"/>
      <c r="E6" s="505"/>
      <c r="F6" s="505"/>
      <c r="G6" s="505"/>
      <c r="H6" s="505"/>
      <c r="I6" s="512" t="str">
        <f>S5&amp;".1"</f>
        <v>.1</v>
      </c>
      <c r="J6" s="133"/>
      <c r="K6" s="133"/>
      <c r="L6" s="212" t="s">
        <v>405</v>
      </c>
      <c r="M6" s="610"/>
      <c r="N6" s="610"/>
      <c r="O6" s="610"/>
      <c r="P6" s="132">
        <v>1</v>
      </c>
      <c r="Q6" s="132"/>
      <c r="R6" s="513"/>
      <c r="S6" s="366"/>
      <c r="T6" s="600"/>
      <c r="U6" s="601"/>
      <c r="V6" s="603"/>
      <c r="W6" s="603"/>
      <c r="X6" s="603"/>
      <c r="Y6" s="603"/>
      <c r="Z6" s="603"/>
      <c r="AA6" s="603"/>
      <c r="AB6" s="603"/>
      <c r="AC6" s="604"/>
      <c r="AD6" s="602"/>
      <c r="AE6" s="603"/>
      <c r="AF6" s="603"/>
      <c r="AG6" s="603"/>
      <c r="AH6" s="603"/>
      <c r="AI6" s="603"/>
      <c r="AJ6" s="603"/>
      <c r="AK6" s="603"/>
      <c r="AL6" s="603"/>
      <c r="AM6" s="603"/>
      <c r="AN6" s="603"/>
      <c r="AO6" s="603"/>
      <c r="AP6" s="603"/>
      <c r="AQ6" s="603"/>
      <c r="AR6" s="603"/>
      <c r="AS6" s="603"/>
      <c r="AT6" s="603"/>
      <c r="AU6" s="603"/>
      <c r="AV6" s="603"/>
      <c r="AW6" s="603"/>
      <c r="AX6" s="603"/>
      <c r="AY6" s="603"/>
      <c r="AZ6" s="603"/>
      <c r="BA6" s="603"/>
      <c r="BB6" s="604"/>
      <c r="BC6" s="605"/>
      <c r="BE6" s="129"/>
      <c r="BF6" s="129" t="str">
        <f t="shared" si="45"/>
        <v/>
      </c>
      <c r="BG6" s="129"/>
      <c r="BH6" s="129"/>
      <c r="BI6" s="57">
        <v>0</v>
      </c>
    </row>
    <row r="7" s="57" customFormat="1" ht="14.25" hidden="1" customHeight="1">
      <c r="A7" s="133"/>
      <c r="B7" s="133"/>
      <c r="C7" s="133"/>
      <c r="D7" s="133"/>
      <c r="E7" s="505"/>
      <c r="F7" s="505"/>
      <c r="G7" s="505"/>
      <c r="H7" s="505"/>
      <c r="I7" s="517"/>
      <c r="J7" s="512" t="str">
        <f>S5&amp;".1"</f>
        <v>.1</v>
      </c>
      <c r="K7" s="133"/>
      <c r="L7" s="212"/>
      <c r="M7" s="610"/>
      <c r="N7" s="610"/>
      <c r="O7" s="610"/>
      <c r="P7" s="132"/>
      <c r="Q7" s="132">
        <v>1</v>
      </c>
      <c r="R7" s="518"/>
      <c r="S7" s="366"/>
      <c r="T7" s="644"/>
      <c r="U7" s="601"/>
      <c r="V7" s="603"/>
      <c r="W7" s="603"/>
      <c r="X7" s="603"/>
      <c r="Y7" s="603"/>
      <c r="Z7" s="603"/>
      <c r="AA7" s="603"/>
      <c r="AB7" s="603"/>
      <c r="AC7" s="604"/>
      <c r="AD7" s="602"/>
      <c r="AE7" s="603"/>
      <c r="AF7" s="603"/>
      <c r="AG7" s="603"/>
      <c r="AH7" s="603"/>
      <c r="AI7" s="603"/>
      <c r="AJ7" s="603"/>
      <c r="AK7" s="603"/>
      <c r="AL7" s="603"/>
      <c r="AM7" s="603"/>
      <c r="AN7" s="603"/>
      <c r="AO7" s="603"/>
      <c r="AP7" s="603"/>
      <c r="AQ7" s="603"/>
      <c r="AR7" s="603"/>
      <c r="AS7" s="603"/>
      <c r="AT7" s="603"/>
      <c r="AU7" s="603"/>
      <c r="AV7" s="603"/>
      <c r="AW7" s="603"/>
      <c r="AX7" s="603"/>
      <c r="AY7" s="603"/>
      <c r="AZ7" s="603"/>
      <c r="BA7" s="603"/>
      <c r="BB7" s="604"/>
      <c r="BC7" s="605"/>
      <c r="BE7" s="129"/>
      <c r="BF7" s="129" t="str">
        <f t="shared" si="45"/>
        <v/>
      </c>
      <c r="BG7" s="129"/>
      <c r="BH7" s="129"/>
      <c r="BI7" s="57">
        <v>0</v>
      </c>
    </row>
    <row r="8" ht="11.25" hidden="1" customHeight="1">
      <c r="A8" s="493"/>
      <c r="B8" s="493"/>
      <c r="C8" s="493"/>
      <c r="D8" s="493"/>
      <c r="E8" s="505"/>
      <c r="F8" s="505"/>
      <c r="G8" s="505"/>
      <c r="H8" s="505"/>
      <c r="I8" s="517"/>
      <c r="J8" s="517"/>
      <c r="K8" s="512" t="e">
        <f>S4&amp;".1"</f>
        <v>#VALUE!</v>
      </c>
      <c r="L8" s="495"/>
      <c r="P8" s="132"/>
      <c r="Q8" s="132"/>
      <c r="R8" s="645">
        <v>1</v>
      </c>
      <c r="S8" s="612" t="e">
        <f>$K8</f>
        <v>#VALUE!</v>
      </c>
      <c r="T8" s="746"/>
      <c r="U8" s="500"/>
      <c r="V8" s="521"/>
      <c r="W8" s="523"/>
      <c r="X8" s="521"/>
      <c r="Y8" s="523"/>
      <c r="Z8" s="524"/>
      <c r="AA8" s="224" t="s">
        <v>66</v>
      </c>
      <c r="AB8" s="524"/>
      <c r="AC8" s="224" t="s">
        <v>66</v>
      </c>
      <c r="AD8" s="296" t="s">
        <v>66</v>
      </c>
      <c r="AE8" s="647"/>
      <c r="AF8" s="360">
        <v>1</v>
      </c>
      <c r="AG8" s="747"/>
      <c r="AH8" s="224" t="s">
        <v>66</v>
      </c>
      <c r="AI8" s="647"/>
      <c r="AJ8" s="360">
        <v>1</v>
      </c>
      <c r="AK8" s="87" t="s">
        <v>28</v>
      </c>
      <c r="AL8" s="224" t="s">
        <v>66</v>
      </c>
      <c r="AM8" s="321"/>
      <c r="AN8" s="360">
        <v>1</v>
      </c>
      <c r="AO8" s="754"/>
      <c r="AP8" s="755" t="s">
        <v>66</v>
      </c>
      <c r="AQ8" s="648"/>
      <c r="AR8" s="360">
        <v>1</v>
      </c>
      <c r="AS8" s="95" t="s">
        <v>28</v>
      </c>
      <c r="AT8" s="521"/>
      <c r="AU8" s="523"/>
      <c r="AV8" s="521"/>
      <c r="AW8" s="523"/>
      <c r="AX8" s="524"/>
      <c r="AY8" s="224" t="s">
        <v>66</v>
      </c>
      <c r="AZ8" s="524"/>
      <c r="BA8" s="224" t="s">
        <v>66</v>
      </c>
      <c r="BB8" s="585"/>
      <c r="BC8" s="525" t="s">
        <v>503</v>
      </c>
      <c r="BE8" s="129"/>
      <c r="BF8" s="129" t="str">
        <f t="shared" si="45"/>
        <v/>
      </c>
      <c r="BG8" s="129"/>
      <c r="BH8" s="129"/>
      <c r="BI8" s="50">
        <v>0</v>
      </c>
    </row>
    <row r="9" ht="11.25" hidden="1" customHeight="1">
      <c r="A9" s="493"/>
      <c r="B9" s="493"/>
      <c r="C9" s="493"/>
      <c r="D9" s="493"/>
      <c r="E9" s="505"/>
      <c r="F9" s="505"/>
      <c r="G9" s="505"/>
      <c r="H9" s="505"/>
      <c r="I9" s="517"/>
      <c r="J9" s="517"/>
      <c r="K9" s="512"/>
      <c r="L9" s="495"/>
      <c r="P9" s="132"/>
      <c r="Q9" s="132"/>
      <c r="R9" s="645"/>
      <c r="S9" s="649"/>
      <c r="T9" s="756"/>
      <c r="U9" s="500"/>
      <c r="V9" s="636"/>
      <c r="W9" s="653"/>
      <c r="X9" s="636"/>
      <c r="Y9" s="653"/>
      <c r="Z9" s="636"/>
      <c r="AA9" s="636"/>
      <c r="AB9" s="636"/>
      <c r="AC9" s="636"/>
      <c r="AD9" s="301"/>
      <c r="AE9" s="647"/>
      <c r="AF9" s="360"/>
      <c r="AG9" s="747"/>
      <c r="AH9" s="224"/>
      <c r="AI9" s="647"/>
      <c r="AJ9" s="360"/>
      <c r="AK9" s="87"/>
      <c r="AL9" s="224"/>
      <c r="AM9" s="327"/>
      <c r="AN9" s="360"/>
      <c r="AO9" s="754"/>
      <c r="AP9" s="757"/>
      <c r="AQ9" s="652"/>
      <c r="AR9" s="177"/>
      <c r="AS9" s="177" t="s">
        <v>504</v>
      </c>
      <c r="AT9" s="636"/>
      <c r="AU9" s="653"/>
      <c r="AV9" s="636"/>
      <c r="AW9" s="653"/>
      <c r="AX9" s="636"/>
      <c r="AY9" s="636"/>
      <c r="AZ9" s="636"/>
      <c r="BA9" s="636"/>
      <c r="BB9" s="651"/>
      <c r="BC9" s="528"/>
      <c r="BE9" s="129"/>
      <c r="BF9" s="129"/>
      <c r="BG9" s="129"/>
      <c r="BH9" s="129"/>
      <c r="BI9" s="50">
        <v>0</v>
      </c>
    </row>
    <row r="10" ht="11.25" hidden="1" customHeight="1">
      <c r="A10" s="493"/>
      <c r="B10" s="493"/>
      <c r="C10" s="493"/>
      <c r="D10" s="493"/>
      <c r="E10" s="505"/>
      <c r="F10" s="505"/>
      <c r="G10" s="505"/>
      <c r="H10" s="505"/>
      <c r="I10" s="517"/>
      <c r="J10" s="517"/>
      <c r="K10" s="512"/>
      <c r="L10" s="495"/>
      <c r="P10" s="132"/>
      <c r="Q10" s="132"/>
      <c r="R10" s="645"/>
      <c r="S10" s="649"/>
      <c r="T10" s="756"/>
      <c r="U10" s="500"/>
      <c r="V10" s="636"/>
      <c r="W10" s="653"/>
      <c r="X10" s="636"/>
      <c r="Y10" s="653"/>
      <c r="Z10" s="636"/>
      <c r="AA10" s="636"/>
      <c r="AB10" s="636"/>
      <c r="AC10" s="636"/>
      <c r="AD10" s="301"/>
      <c r="AE10" s="647"/>
      <c r="AF10" s="360"/>
      <c r="AG10" s="747"/>
      <c r="AH10" s="224"/>
      <c r="AI10" s="647"/>
      <c r="AJ10" s="360"/>
      <c r="AK10" s="87"/>
      <c r="AL10" s="224"/>
      <c r="AM10" s="652"/>
      <c r="AN10" s="758"/>
      <c r="AO10" s="758" t="s">
        <v>505</v>
      </c>
      <c r="AP10" s="177"/>
      <c r="AQ10" s="177"/>
      <c r="AR10" s="177"/>
      <c r="AS10" s="636"/>
      <c r="AT10" s="636"/>
      <c r="AU10" s="653"/>
      <c r="AV10" s="636"/>
      <c r="AW10" s="653"/>
      <c r="AX10" s="636"/>
      <c r="AY10" s="636"/>
      <c r="AZ10" s="636"/>
      <c r="BA10" s="636"/>
      <c r="BB10" s="651"/>
      <c r="BC10" s="528"/>
      <c r="BE10" s="129"/>
      <c r="BF10" s="129"/>
      <c r="BG10" s="129"/>
      <c r="BH10" s="129"/>
      <c r="BI10" s="50">
        <v>0</v>
      </c>
    </row>
    <row r="11" ht="11.25" hidden="1" customHeight="1">
      <c r="A11" s="493"/>
      <c r="B11" s="493"/>
      <c r="C11" s="493"/>
      <c r="D11" s="493"/>
      <c r="E11" s="505"/>
      <c r="F11" s="505"/>
      <c r="G11" s="505"/>
      <c r="H11" s="505"/>
      <c r="I11" s="517"/>
      <c r="J11" s="517"/>
      <c r="K11" s="512"/>
      <c r="L11" s="495"/>
      <c r="P11" s="132"/>
      <c r="Q11" s="132"/>
      <c r="R11" s="645"/>
      <c r="S11" s="649"/>
      <c r="T11" s="756"/>
      <c r="U11" s="500"/>
      <c r="V11" s="636"/>
      <c r="W11" s="653"/>
      <c r="X11" s="636"/>
      <c r="Y11" s="653"/>
      <c r="Z11" s="636"/>
      <c r="AA11" s="636"/>
      <c r="AB11" s="636"/>
      <c r="AC11" s="636"/>
      <c r="AD11" s="301"/>
      <c r="AE11" s="647"/>
      <c r="AF11" s="360"/>
      <c r="AG11" s="747"/>
      <c r="AH11" s="224"/>
      <c r="AI11" s="655"/>
      <c r="AJ11" s="172"/>
      <c r="AK11" s="455" t="s">
        <v>506</v>
      </c>
      <c r="AL11" s="636"/>
      <c r="AM11" s="636"/>
      <c r="AN11" s="636"/>
      <c r="AO11" s="636"/>
      <c r="AP11" s="636"/>
      <c r="AQ11" s="636"/>
      <c r="AR11" s="636"/>
      <c r="AS11" s="636"/>
      <c r="AT11" s="636"/>
      <c r="AU11" s="653"/>
      <c r="AV11" s="636"/>
      <c r="AW11" s="653"/>
      <c r="AX11" s="636"/>
      <c r="AY11" s="636"/>
      <c r="AZ11" s="636"/>
      <c r="BA11" s="636"/>
      <c r="BB11" s="651"/>
      <c r="BC11" s="528"/>
      <c r="BE11" s="129"/>
      <c r="BF11" s="129"/>
      <c r="BG11" s="129"/>
      <c r="BH11" s="129"/>
      <c r="BI11" s="50">
        <v>0</v>
      </c>
    </row>
    <row r="12" ht="11.25" hidden="1" customHeight="1">
      <c r="A12" s="493"/>
      <c r="B12" s="493"/>
      <c r="C12" s="493"/>
      <c r="D12" s="493"/>
      <c r="E12" s="505"/>
      <c r="F12" s="505"/>
      <c r="G12" s="505"/>
      <c r="H12" s="505"/>
      <c r="I12" s="517"/>
      <c r="J12" s="517"/>
      <c r="K12" s="512"/>
      <c r="L12" s="495"/>
      <c r="P12" s="132"/>
      <c r="Q12" s="132"/>
      <c r="R12" s="645"/>
      <c r="S12" s="622"/>
      <c r="T12" s="759"/>
      <c r="U12" s="500"/>
      <c r="V12" s="636"/>
      <c r="W12" s="637" t="str">
        <f>Z8&amp;"-"&amp;AB8</f>
        <v>-</v>
      </c>
      <c r="X12" s="636"/>
      <c r="Y12" s="637" t="str">
        <f>AB8&amp;"-"&amp;AD8</f>
        <v>-да</v>
      </c>
      <c r="Z12" s="636"/>
      <c r="AA12" s="636"/>
      <c r="AB12" s="636"/>
      <c r="AC12" s="636"/>
      <c r="AD12" s="220"/>
      <c r="AE12" s="658"/>
      <c r="AF12" s="659"/>
      <c r="AG12" s="177" t="s">
        <v>507</v>
      </c>
      <c r="AH12" s="636"/>
      <c r="AI12" s="636"/>
      <c r="AJ12" s="636"/>
      <c r="AK12" s="636"/>
      <c r="AL12" s="636"/>
      <c r="AM12" s="636"/>
      <c r="AN12" s="636"/>
      <c r="AO12" s="636"/>
      <c r="AP12" s="636"/>
      <c r="AQ12" s="636"/>
      <c r="AR12" s="636"/>
      <c r="AS12" s="636"/>
      <c r="AT12" s="636"/>
      <c r="AU12" s="637" t="str">
        <f>AX8&amp;"-"&amp;AZ8</f>
        <v>-</v>
      </c>
      <c r="AV12" s="636"/>
      <c r="AW12" s="637" t="str">
        <f>AZ8&amp;"-"&amp;BB8</f>
        <v>-</v>
      </c>
      <c r="AX12" s="636"/>
      <c r="AY12" s="636"/>
      <c r="AZ12" s="636"/>
      <c r="BA12" s="636"/>
      <c r="BB12" s="657" t="str">
        <f>BE8&amp;"-"&amp;BG8</f>
        <v>-</v>
      </c>
      <c r="BC12" s="528"/>
      <c r="BE12" s="129"/>
      <c r="BF12" s="129" t="str">
        <f t="shared" ref="BF12:BF63" si="46">IF(T12="","",T12)</f>
        <v/>
      </c>
      <c r="BG12" s="129"/>
      <c r="BH12" s="129"/>
      <c r="BI12" s="50">
        <v>0</v>
      </c>
    </row>
    <row r="13" ht="11.25" hidden="1" customHeight="1">
      <c r="A13" s="493"/>
      <c r="B13" s="493"/>
      <c r="C13" s="493"/>
      <c r="D13" s="493"/>
      <c r="E13" s="505"/>
      <c r="F13" s="505"/>
      <c r="G13" s="505"/>
      <c r="H13" s="505"/>
      <c r="I13" s="517"/>
      <c r="J13" s="512"/>
      <c r="K13" s="493"/>
      <c r="L13" s="495"/>
      <c r="P13" s="132"/>
      <c r="Q13" s="132"/>
      <c r="R13" s="513"/>
      <c r="S13" s="529"/>
      <c r="T13" s="533" t="s">
        <v>467</v>
      </c>
      <c r="U13" s="214"/>
      <c r="V13" s="214"/>
      <c r="W13" s="214"/>
      <c r="X13" s="214"/>
      <c r="Y13" s="214"/>
      <c r="Z13" s="214"/>
      <c r="AA13" s="214"/>
      <c r="AB13" s="214"/>
      <c r="AC13" s="214"/>
      <c r="AD13" s="687"/>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31"/>
      <c r="BC13" s="532"/>
      <c r="BE13" s="129"/>
      <c r="BF13" s="129" t="str">
        <f t="shared" si="46"/>
        <v xml:space="preserve">Добавить строку</v>
      </c>
      <c r="BG13" s="129"/>
      <c r="BH13" s="129"/>
      <c r="BI13" s="50">
        <v>0</v>
      </c>
    </row>
    <row r="14" s="57" customFormat="1" ht="14.25" hidden="1" customHeight="1">
      <c r="A14" s="133"/>
      <c r="B14" s="133"/>
      <c r="C14" s="133"/>
      <c r="D14" s="133"/>
      <c r="E14" s="505"/>
      <c r="F14" s="505"/>
      <c r="G14" s="505"/>
      <c r="H14" s="505"/>
      <c r="I14" s="512"/>
      <c r="J14" s="133"/>
      <c r="K14" s="133"/>
      <c r="L14" s="212"/>
      <c r="M14" s="610"/>
      <c r="N14" s="610"/>
      <c r="O14" s="610"/>
      <c r="P14" s="132"/>
      <c r="Q14" s="132"/>
      <c r="R14" s="513"/>
      <c r="S14" s="606"/>
      <c r="T14" s="607"/>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8"/>
      <c r="AV14" s="608"/>
      <c r="AW14" s="608"/>
      <c r="AX14" s="608"/>
      <c r="AY14" s="608"/>
      <c r="AZ14" s="608"/>
      <c r="BA14" s="608"/>
      <c r="BB14" s="608"/>
      <c r="BC14" s="609"/>
      <c r="BE14" s="129"/>
      <c r="BF14" s="129" t="str">
        <f t="shared" si="46"/>
        <v/>
      </c>
      <c r="BG14" s="129"/>
      <c r="BH14" s="129"/>
      <c r="BI14" s="57">
        <v>0</v>
      </c>
    </row>
    <row r="15" s="57" customFormat="1" ht="14.25" hidden="1" customHeight="1">
      <c r="A15" s="133"/>
      <c r="B15" s="133"/>
      <c r="C15" s="133"/>
      <c r="D15" s="133"/>
      <c r="E15" s="505"/>
      <c r="F15" s="505"/>
      <c r="G15" s="505"/>
      <c r="H15" s="494"/>
      <c r="I15" s="133"/>
      <c r="J15" s="133"/>
      <c r="K15" s="133"/>
      <c r="L15" s="212"/>
      <c r="M15" s="478"/>
      <c r="N15" s="478"/>
      <c r="O15" s="57"/>
      <c r="P15" s="167"/>
      <c r="Q15" s="538"/>
      <c r="R15" s="660"/>
      <c r="S15" s="606"/>
      <c r="T15" s="607"/>
      <c r="U15" s="608"/>
      <c r="V15" s="608"/>
      <c r="W15" s="608"/>
      <c r="X15" s="608"/>
      <c r="Y15" s="608"/>
      <c r="Z15" s="608"/>
      <c r="AA15" s="608"/>
      <c r="AB15" s="608"/>
      <c r="AC15" s="608"/>
      <c r="AD15" s="608"/>
      <c r="AE15" s="608"/>
      <c r="AF15" s="608"/>
      <c r="AG15" s="608"/>
      <c r="AH15" s="608"/>
      <c r="AI15" s="608"/>
      <c r="AJ15" s="608"/>
      <c r="AK15" s="608"/>
      <c r="AL15" s="608"/>
      <c r="AM15" s="608"/>
      <c r="AN15" s="608"/>
      <c r="AO15" s="608"/>
      <c r="AP15" s="608"/>
      <c r="AQ15" s="608"/>
      <c r="AR15" s="608"/>
      <c r="AS15" s="608"/>
      <c r="AT15" s="608"/>
      <c r="AU15" s="608"/>
      <c r="AV15" s="608"/>
      <c r="AW15" s="608"/>
      <c r="AX15" s="608"/>
      <c r="AY15" s="608"/>
      <c r="AZ15" s="608"/>
      <c r="BA15" s="608"/>
      <c r="BB15" s="608"/>
      <c r="BC15" s="609"/>
      <c r="BE15" s="129"/>
      <c r="BF15" s="129" t="str">
        <f t="shared" si="46"/>
        <v/>
      </c>
      <c r="BG15" s="129"/>
      <c r="BH15" s="129"/>
      <c r="BI15" s="57">
        <v>0</v>
      </c>
    </row>
    <row r="16" s="57" customFormat="1" ht="14.25" hidden="1" customHeight="1">
      <c r="A16" s="133"/>
      <c r="B16" s="133"/>
      <c r="C16" s="133"/>
      <c r="D16" s="133"/>
      <c r="E16" s="505"/>
      <c r="F16" s="505"/>
      <c r="G16" s="494"/>
      <c r="H16" s="133"/>
      <c r="I16" s="133"/>
      <c r="J16" s="133"/>
      <c r="K16" s="133"/>
      <c r="L16" s="212"/>
      <c r="M16" s="478"/>
      <c r="N16" s="478"/>
      <c r="P16" s="167"/>
      <c r="Q16" s="538"/>
      <c r="R16" s="167"/>
      <c r="S16" s="543"/>
      <c r="T16" s="546"/>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5"/>
      <c r="AY16" s="545"/>
      <c r="AZ16" s="545"/>
      <c r="BA16" s="545"/>
      <c r="BB16" s="545"/>
      <c r="BC16" s="545"/>
      <c r="BE16" s="129"/>
      <c r="BF16" s="129" t="str">
        <f t="shared" si="46"/>
        <v/>
      </c>
      <c r="BG16" s="129"/>
      <c r="BH16" s="129"/>
      <c r="BI16" s="57">
        <v>0</v>
      </c>
    </row>
    <row r="17" s="57" customFormat="1" ht="14.25" hidden="1" customHeight="1">
      <c r="A17" s="133"/>
      <c r="B17" s="133"/>
      <c r="C17" s="133"/>
      <c r="D17" s="133"/>
      <c r="E17" s="505"/>
      <c r="F17" s="494"/>
      <c r="G17" s="133"/>
      <c r="H17" s="133"/>
      <c r="I17" s="133"/>
      <c r="J17" s="133"/>
      <c r="K17" s="133"/>
      <c r="L17" s="212"/>
      <c r="M17" s="542"/>
      <c r="N17" s="542"/>
      <c r="P17" s="167"/>
      <c r="Q17" s="538"/>
      <c r="R17" s="167"/>
      <c r="S17" s="543"/>
      <c r="T17" s="546" t="s">
        <v>238</v>
      </c>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E17" s="129"/>
      <c r="BF17" s="129" t="str">
        <f t="shared" si="46"/>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94"/>
      <c r="F18" s="133"/>
      <c r="G18" s="133"/>
      <c r="H18" s="133"/>
      <c r="I18" s="133"/>
      <c r="J18" s="133"/>
      <c r="K18" s="133"/>
      <c r="L18" s="212"/>
      <c r="M18" s="542"/>
      <c r="N18" s="542"/>
      <c r="O18" s="57"/>
      <c r="P18" s="167"/>
      <c r="Q18" s="538"/>
      <c r="R18" s="167"/>
      <c r="S18" s="543"/>
      <c r="T18" s="546" t="s">
        <v>239</v>
      </c>
      <c r="U18" s="545"/>
      <c r="V18" s="545"/>
      <c r="W18" s="545"/>
      <c r="X18" s="545"/>
      <c r="Y18" s="545"/>
      <c r="Z18" s="545"/>
      <c r="AA18" s="545"/>
      <c r="AB18" s="545"/>
      <c r="AC18" s="545"/>
      <c r="AD18" s="545"/>
      <c r="AE18" s="545"/>
      <c r="AF18" s="545"/>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E18" s="129"/>
      <c r="BF18" s="129" t="str">
        <f t="shared" si="46"/>
        <v xml:space="preserve">Добавить территорию для дифференциации</v>
      </c>
      <c r="BG18" s="129"/>
      <c r="BH18" s="129"/>
      <c r="BI18" s="57">
        <v>0</v>
      </c>
    </row>
    <row r="19" ht="14.25" hidden="1" customHeight="1">
      <c r="AC19" s="50"/>
      <c r="BA19" s="50"/>
      <c r="BI19" s="50">
        <v>0</v>
      </c>
    </row>
    <row r="20" ht="14.25" hidden="1" customHeight="1">
      <c r="AD20" s="545" t="s">
        <v>19</v>
      </c>
      <c r="AE20" s="661"/>
      <c r="AF20" s="545">
        <v>1</v>
      </c>
      <c r="AG20" s="662"/>
      <c r="AH20" s="545" t="s">
        <v>19</v>
      </c>
      <c r="AI20" s="661"/>
      <c r="AJ20" s="545">
        <v>1</v>
      </c>
      <c r="AK20" s="662"/>
      <c r="AL20" s="545" t="s">
        <v>19</v>
      </c>
      <c r="AM20" s="663"/>
      <c r="AN20" s="545">
        <v>1</v>
      </c>
      <c r="AO20" s="134"/>
      <c r="AP20" s="545" t="s">
        <v>19</v>
      </c>
      <c r="AQ20" s="663"/>
      <c r="AR20" s="545">
        <v>1</v>
      </c>
      <c r="AS20" s="134"/>
      <c r="AT20" s="522"/>
      <c r="AU20" s="597"/>
      <c r="AV20" s="522"/>
      <c r="AW20" s="597"/>
      <c r="AX20" s="667"/>
      <c r="AY20" s="299" t="s">
        <v>66</v>
      </c>
      <c r="AZ20" s="667"/>
      <c r="BA20" s="299" t="s">
        <v>66</v>
      </c>
      <c r="BI20" s="50">
        <v>0</v>
      </c>
    </row>
    <row r="21" ht="14.25" hidden="1" customHeight="1">
      <c r="BD21" s="131"/>
      <c r="BE21" s="131"/>
      <c r="BF21" s="131"/>
      <c r="BG21" s="131"/>
      <c r="BH21" s="131"/>
      <c r="BI21" s="50">
        <v>0</v>
      </c>
    </row>
    <row r="22" ht="14.25" hidden="1" customHeight="1">
      <c r="O22" s="551" t="s">
        <v>417</v>
      </c>
      <c r="Z22" s="595"/>
      <c r="AB22" s="595"/>
      <c r="AC22" s="50"/>
      <c r="AX22" s="595"/>
      <c r="AZ22" s="595"/>
      <c r="BA22" s="50"/>
      <c r="BD22" s="131"/>
      <c r="BE22" s="131"/>
      <c r="BF22" s="131"/>
      <c r="BG22" s="131"/>
      <c r="BH22" s="131"/>
      <c r="BI22" s="50">
        <v>0</v>
      </c>
    </row>
    <row r="23" ht="14.25" hidden="1" customHeight="1">
      <c r="AC23" s="50"/>
      <c r="BA23" s="50"/>
      <c r="BD23" s="131"/>
      <c r="BE23" s="131"/>
      <c r="BF23" s="131"/>
      <c r="BG23" s="131"/>
      <c r="BH23" s="131"/>
      <c r="BI23" s="50">
        <v>0</v>
      </c>
    </row>
    <row r="24" s="668" customFormat="1" ht="14.25" hidden="1" customHeight="1">
      <c r="M24" s="669"/>
      <c r="N24" s="669"/>
      <c r="O24" s="668" t="s">
        <v>418</v>
      </c>
      <c r="P24" s="669"/>
      <c r="Q24" s="670"/>
      <c r="R24" s="670"/>
      <c r="AA24" s="668" t="s">
        <v>420</v>
      </c>
      <c r="AC24" s="668" t="s">
        <v>421</v>
      </c>
      <c r="AD24" s="668" t="s">
        <v>468</v>
      </c>
      <c r="AH24" s="668" t="s">
        <v>468</v>
      </c>
      <c r="AK24" s="668" t="s">
        <v>508</v>
      </c>
      <c r="AL24" s="668" t="s">
        <v>468</v>
      </c>
      <c r="AP24" s="668" t="s">
        <v>468</v>
      </c>
      <c r="AY24" s="668" t="s">
        <v>420</v>
      </c>
      <c r="BA24" s="668" t="s">
        <v>421</v>
      </c>
      <c r="BD24" s="671"/>
      <c r="BE24" s="671"/>
      <c r="BF24" s="671"/>
      <c r="BG24" s="671"/>
      <c r="BH24" s="671"/>
      <c r="BI24" s="668">
        <v>0</v>
      </c>
    </row>
    <row r="25" ht="14.25" hidden="1" customHeight="1">
      <c r="O25" s="495"/>
      <c r="BD25" s="131"/>
      <c r="BE25" s="131"/>
      <c r="BF25" s="131"/>
      <c r="BG25" s="131"/>
      <c r="BH25" s="131"/>
      <c r="BI25" s="50">
        <v>0</v>
      </c>
    </row>
    <row r="26" ht="14.25" hidden="1" customHeight="1">
      <c r="O26" s="495"/>
      <c r="BD26" s="131"/>
      <c r="BE26" s="131"/>
      <c r="BF26" s="131"/>
      <c r="BG26" s="131"/>
      <c r="BH26" s="131"/>
      <c r="BI26" s="50">
        <v>0</v>
      </c>
    </row>
    <row r="27" ht="14.65" customHeight="1">
      <c r="Q27" s="672"/>
      <c r="R27" s="553"/>
      <c r="S27" s="554"/>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2"/>
      <c r="R28" s="553"/>
      <c r="S28" s="466"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66"/>
      <c r="U28" s="466"/>
      <c r="V28" s="466"/>
      <c r="W28" s="466"/>
      <c r="X28" s="466"/>
      <c r="Y28" s="466"/>
      <c r="Z28" s="466"/>
      <c r="AA28" s="466"/>
      <c r="AB28" s="466"/>
      <c r="AC28" s="466"/>
      <c r="AD28" s="466"/>
      <c r="AE28" s="466"/>
      <c r="AF28" s="466"/>
      <c r="AG28" s="466"/>
      <c r="AH28" s="466"/>
      <c r="AI28" s="466"/>
      <c r="AJ28" s="466"/>
      <c r="AK28" s="466"/>
      <c r="AL28" s="466"/>
      <c r="AM28" s="466"/>
      <c r="AN28" s="466"/>
      <c r="AO28" s="466"/>
      <c r="AP28" s="466"/>
      <c r="AQ28" s="466"/>
      <c r="AR28" s="466"/>
      <c r="AS28" s="466"/>
      <c r="AT28" s="466"/>
      <c r="AU28" s="466"/>
      <c r="AV28" s="466"/>
      <c r="AW28" s="466"/>
      <c r="AX28" s="466"/>
      <c r="AY28" s="466"/>
      <c r="AZ28" s="466"/>
      <c r="BA28" s="240"/>
      <c r="BI28" s="50">
        <v>14</v>
      </c>
    </row>
    <row r="29" ht="14.65" customHeight="1">
      <c r="Q29" s="672"/>
      <c r="R29" s="553"/>
      <c r="S29" s="320" t="str">
        <f>IF(org=0,"Не определено",org)</f>
        <v xml:space="preserve">филиал Пермская ГРЭС АО "Интер РАО - Электрогенерация"</v>
      </c>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0"/>
      <c r="AQ29" s="320"/>
      <c r="AR29" s="320"/>
      <c r="AS29" s="320"/>
      <c r="AT29" s="320"/>
      <c r="AU29" s="320"/>
      <c r="AV29" s="320"/>
      <c r="AW29" s="320"/>
      <c r="AX29" s="320"/>
      <c r="AY29" s="320"/>
      <c r="AZ29" s="320"/>
      <c r="BA29" s="240"/>
      <c r="BI29" s="50">
        <v>14</v>
      </c>
    </row>
    <row r="30" ht="14.25" hidden="1" customHeight="1">
      <c r="Q30" s="672"/>
      <c r="R30" s="553"/>
      <c r="S30" s="554"/>
      <c r="T30" s="91"/>
      <c r="U30" s="91"/>
      <c r="V30" s="555"/>
      <c r="W30" s="555"/>
      <c r="X30" s="555"/>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5"/>
      <c r="AY30" s="555"/>
      <c r="AZ30" s="555"/>
      <c r="BA30" s="555"/>
      <c r="BB30" s="50"/>
      <c r="BI30" s="50">
        <v>0</v>
      </c>
    </row>
    <row r="31" s="184" customFormat="1" ht="25.5" hidden="1" customHeight="1">
      <c r="A31" s="151"/>
      <c r="B31" s="151"/>
      <c r="C31" s="151"/>
      <c r="D31" s="151"/>
      <c r="E31" s="151"/>
      <c r="F31" s="151"/>
      <c r="G31" s="151"/>
      <c r="H31" s="151"/>
      <c r="I31" s="151"/>
      <c r="J31" s="151"/>
      <c r="K31" s="151"/>
      <c r="L31" s="495"/>
      <c r="M31" s="151"/>
      <c r="N31" s="151"/>
      <c r="O31" s="151"/>
      <c r="P31" s="151"/>
      <c r="Q31" s="151"/>
      <c r="S31" s="556" t="s">
        <v>42</v>
      </c>
      <c r="T31" s="556"/>
      <c r="U31" s="557"/>
      <c r="V31" s="558" t="str">
        <f>IF(TITLE_NAME_OR_PR_CHANGE="",IF(TITLE_NAME_OR_PR="","",TITLE_NAME_OR_PR),TITLE_NAME_OR_PR_CHANGE)</f>
        <v/>
      </c>
      <c r="W31" s="558"/>
      <c r="X31" s="558"/>
      <c r="Y31" s="558"/>
      <c r="Z31" s="558"/>
      <c r="AA31" s="558"/>
      <c r="AB31" s="558"/>
      <c r="AC31" s="50"/>
      <c r="AD31" s="558" t="str">
        <f>IF(TITLE_NAME_OR_PR_CHANGE="",IF(TITLE_NAME_OR_PR="","",TITLE_NAME_OR_PR),TITLE_NAME_OR_PR_CHANGE)</f>
        <v/>
      </c>
      <c r="AE31" s="558"/>
      <c r="AF31" s="558"/>
      <c r="AG31" s="558"/>
      <c r="AH31" s="558"/>
      <c r="AI31" s="558"/>
      <c r="AJ31" s="558"/>
      <c r="AK31" s="558"/>
      <c r="AL31" s="558"/>
      <c r="AM31" s="558"/>
      <c r="AN31" s="558"/>
      <c r="AO31" s="558"/>
      <c r="AP31" s="558"/>
      <c r="AQ31" s="558"/>
      <c r="AR31" s="558"/>
      <c r="AS31" s="558"/>
      <c r="AT31" s="558"/>
      <c r="AU31" s="558"/>
      <c r="AV31" s="558"/>
      <c r="AW31" s="558"/>
      <c r="AX31" s="558"/>
      <c r="AY31" s="558"/>
      <c r="AZ31" s="558"/>
      <c r="BA31" s="50"/>
      <c r="BB31" s="50"/>
      <c r="BC31" s="559"/>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95"/>
      <c r="M32" s="151"/>
      <c r="N32" s="151"/>
      <c r="O32" s="151"/>
      <c r="P32" s="151"/>
      <c r="Q32" s="151"/>
      <c r="S32" s="556" t="s">
        <v>423</v>
      </c>
      <c r="T32" s="556"/>
      <c r="U32" s="557"/>
      <c r="V32" s="560" t="str">
        <f>IF(TITLE_DATE_PR_CHANGE="",IF(TITLE_DATE_PR="","",TITLE_DATE_PR),TITLE_DATE_PR_CHANGE)</f>
        <v>45406</v>
      </c>
      <c r="W32" s="560"/>
      <c r="X32" s="560"/>
      <c r="Y32" s="560"/>
      <c r="Z32" s="560"/>
      <c r="AA32" s="560"/>
      <c r="AB32" s="560"/>
      <c r="AC32" s="50"/>
      <c r="AD32" s="560" t="str">
        <f>IF(TITLE_DATE_PR_CHANGE="",IF(TITLE_DATE_PR="","",TITLE_DATE_PR),TITLE_DATE_PR_CHANGE)</f>
        <v>45406</v>
      </c>
      <c r="AE32" s="560"/>
      <c r="AF32" s="560"/>
      <c r="AG32" s="560"/>
      <c r="AH32" s="560"/>
      <c r="AI32" s="560"/>
      <c r="AJ32" s="560"/>
      <c r="AK32" s="560"/>
      <c r="AL32" s="560"/>
      <c r="AM32" s="560"/>
      <c r="AN32" s="560"/>
      <c r="AO32" s="560"/>
      <c r="AP32" s="560"/>
      <c r="AQ32" s="560"/>
      <c r="AR32" s="560"/>
      <c r="AS32" s="560"/>
      <c r="AT32" s="560"/>
      <c r="AU32" s="560"/>
      <c r="AV32" s="560"/>
      <c r="AW32" s="560"/>
      <c r="AX32" s="560"/>
      <c r="AY32" s="560"/>
      <c r="AZ32" s="560"/>
      <c r="BA32" s="50"/>
      <c r="BB32" s="50"/>
      <c r="BC32" s="559"/>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95"/>
      <c r="M33" s="151"/>
      <c r="N33" s="151"/>
      <c r="O33" s="151"/>
      <c r="P33" s="151"/>
      <c r="Q33" s="151"/>
      <c r="S33" s="556" t="s">
        <v>424</v>
      </c>
      <c r="T33" s="556"/>
      <c r="U33" s="557"/>
      <c r="V33" s="558" t="str">
        <f>IF(TITLE_NUMBER_PR_CHANGE="",IF(TITLE_NUMBER_PR="","",TITLE_NUMBER_PR),TITLE_NUMBER_PR_CHANGE)</f>
        <v>ПГ/01/950</v>
      </c>
      <c r="W33" s="558"/>
      <c r="X33" s="558"/>
      <c r="Y33" s="558"/>
      <c r="Z33" s="558"/>
      <c r="AA33" s="558"/>
      <c r="AB33" s="558"/>
      <c r="AC33" s="50"/>
      <c r="AD33" s="558" t="str">
        <f>IF(TITLE_NUMBER_PR_CHANGE="",IF(TITLE_NUMBER_PR="","",TITLE_NUMBER_PR),TITLE_NUMBER_PR_CHANGE)</f>
        <v>ПГ/01/950</v>
      </c>
      <c r="AE33" s="558"/>
      <c r="AF33" s="558"/>
      <c r="AG33" s="558"/>
      <c r="AH33" s="558"/>
      <c r="AI33" s="558"/>
      <c r="AJ33" s="558"/>
      <c r="AK33" s="558"/>
      <c r="AL33" s="558"/>
      <c r="AM33" s="558"/>
      <c r="AN33" s="558"/>
      <c r="AO33" s="558"/>
      <c r="AP33" s="558"/>
      <c r="AQ33" s="558"/>
      <c r="AR33" s="558"/>
      <c r="AS33" s="558"/>
      <c r="AT33" s="558"/>
      <c r="AU33" s="558"/>
      <c r="AV33" s="558"/>
      <c r="AW33" s="558"/>
      <c r="AX33" s="558"/>
      <c r="AY33" s="558"/>
      <c r="AZ33" s="558"/>
      <c r="BA33" s="50"/>
      <c r="BB33" s="50"/>
      <c r="BC33" s="559"/>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95"/>
      <c r="M34" s="151"/>
      <c r="N34" s="151"/>
      <c r="O34" s="151"/>
      <c r="P34" s="151"/>
      <c r="Q34" s="151"/>
      <c r="S34" s="556" t="s">
        <v>43</v>
      </c>
      <c r="T34" s="556"/>
      <c r="U34" s="557"/>
      <c r="V34" s="558" t="str">
        <f>IF(TITLE_IST_PUB_CHANGE="",IF(TITLE_IST_PUB="","",TITLE_IST_PUB),TITLE_IST_PUB_CHANGE)</f>
        <v/>
      </c>
      <c r="W34" s="558"/>
      <c r="X34" s="558"/>
      <c r="Y34" s="558"/>
      <c r="Z34" s="558"/>
      <c r="AA34" s="558"/>
      <c r="AB34" s="558"/>
      <c r="AC34" s="50"/>
      <c r="AD34" s="558" t="str">
        <f>IF(TITLE_IST_PUB_CHANGE="",IF(TITLE_IST_PUB="","",TITLE_IST_PUB),TITLE_IST_PUB_CHANGE)</f>
        <v/>
      </c>
      <c r="AE34" s="558"/>
      <c r="AF34" s="558"/>
      <c r="AG34" s="558"/>
      <c r="AH34" s="558"/>
      <c r="AI34" s="558"/>
      <c r="AJ34" s="558"/>
      <c r="AK34" s="558"/>
      <c r="AL34" s="558"/>
      <c r="AM34" s="558"/>
      <c r="AN34" s="558"/>
      <c r="AO34" s="558"/>
      <c r="AP34" s="558"/>
      <c r="AQ34" s="558"/>
      <c r="AR34" s="558"/>
      <c r="AS34" s="558"/>
      <c r="AT34" s="558"/>
      <c r="AU34" s="558"/>
      <c r="AV34" s="558"/>
      <c r="AW34" s="558"/>
      <c r="AX34" s="558"/>
      <c r="AY34" s="558"/>
      <c r="AZ34" s="558"/>
      <c r="BA34" s="50"/>
      <c r="BB34" s="50"/>
      <c r="BC34" s="559"/>
      <c r="BD34" s="129"/>
      <c r="BE34" s="129"/>
      <c r="BF34" s="129"/>
      <c r="BG34" s="129"/>
      <c r="BH34" s="129"/>
      <c r="BI34" s="184">
        <v>0</v>
      </c>
    </row>
    <row r="35" ht="14.25" customHeight="1">
      <c r="Q35" s="672"/>
      <c r="R35" s="553"/>
      <c r="S35" s="554"/>
      <c r="T35" s="91"/>
      <c r="U35" s="91"/>
      <c r="V35" s="555"/>
      <c r="W35" s="555"/>
      <c r="X35" s="555"/>
      <c r="Y35" s="555"/>
      <c r="Z35" s="555"/>
      <c r="AA35" s="555"/>
      <c r="AB35" s="555"/>
      <c r="AC35" s="555"/>
      <c r="AD35" s="555"/>
      <c r="AE35" s="555"/>
      <c r="AF35" s="555"/>
      <c r="AG35" s="555"/>
      <c r="AH35" s="555"/>
      <c r="AI35" s="555"/>
      <c r="AJ35" s="555"/>
      <c r="AK35" s="555"/>
      <c r="AL35" s="555"/>
      <c r="AM35" s="555"/>
      <c r="AN35" s="555"/>
      <c r="AO35" s="555"/>
      <c r="AP35" s="555"/>
      <c r="AQ35" s="555"/>
      <c r="AR35" s="555"/>
      <c r="AS35" s="555"/>
      <c r="AT35" s="555"/>
      <c r="AU35" s="555"/>
      <c r="AV35" s="555"/>
      <c r="AW35" s="555"/>
      <c r="AX35" s="555"/>
      <c r="AY35" s="555"/>
      <c r="AZ35" s="555"/>
      <c r="BA35" s="555"/>
      <c r="BB35" s="50"/>
      <c r="BI35" s="50">
        <v>0</v>
      </c>
    </row>
    <row r="36" s="184" customFormat="1" ht="18.75" customHeight="1">
      <c r="A36" s="151"/>
      <c r="B36" s="151"/>
      <c r="C36" s="151"/>
      <c r="D36" s="151"/>
      <c r="E36" s="151"/>
      <c r="F36" s="151"/>
      <c r="G36" s="151"/>
      <c r="H36" s="151"/>
      <c r="I36" s="151"/>
      <c r="J36" s="151"/>
      <c r="K36" s="151"/>
      <c r="L36" s="495"/>
      <c r="M36" s="151"/>
      <c r="N36" s="151"/>
      <c r="O36" s="151"/>
      <c r="P36" s="151"/>
      <c r="Q36" s="151"/>
      <c r="S36" s="556" t="s">
        <v>423</v>
      </c>
      <c r="T36" s="556"/>
      <c r="U36" s="557"/>
      <c r="V36" s="560" t="str">
        <f>IF(TITLE_DATE_PR_CHANGE="",IF(TITLE_DATE_PR="","",TITLE_DATE_PR),TITLE_DATE_PR_CHANGE)</f>
        <v>45406</v>
      </c>
      <c r="W36" s="560"/>
      <c r="X36" s="560"/>
      <c r="Y36" s="560"/>
      <c r="Z36" s="560"/>
      <c r="AA36" s="560"/>
      <c r="AB36" s="560"/>
      <c r="AC36" s="50"/>
      <c r="AD36" s="560" t="str">
        <f>IF(TITLE_DATE_PR_CHANGE="",IF(TITLE_DATE_PR="","",TITLE_DATE_PR),TITLE_DATE_PR_CHANGE)</f>
        <v>45406</v>
      </c>
      <c r="AE36" s="560"/>
      <c r="AF36" s="560"/>
      <c r="AG36" s="560"/>
      <c r="AH36" s="560"/>
      <c r="AI36" s="560"/>
      <c r="AJ36" s="560"/>
      <c r="AK36" s="560"/>
      <c r="AL36" s="560"/>
      <c r="AM36" s="560"/>
      <c r="AN36" s="560"/>
      <c r="AO36" s="560"/>
      <c r="AP36" s="560"/>
      <c r="AQ36" s="560"/>
      <c r="AR36" s="560"/>
      <c r="AS36" s="560"/>
      <c r="AT36" s="560"/>
      <c r="AU36" s="560"/>
      <c r="AV36" s="560"/>
      <c r="AW36" s="560"/>
      <c r="AX36" s="560"/>
      <c r="AY36" s="560"/>
      <c r="AZ36" s="560"/>
      <c r="BA36" s="50"/>
      <c r="BB36" s="50"/>
      <c r="BC36" s="559"/>
      <c r="BD36" s="129"/>
      <c r="BE36" s="129"/>
      <c r="BF36" s="129"/>
      <c r="BG36" s="129"/>
      <c r="BH36" s="129"/>
      <c r="BI36" s="184">
        <v>0</v>
      </c>
    </row>
    <row r="37" s="184" customFormat="1" ht="18.75" customHeight="1">
      <c r="A37" s="151"/>
      <c r="B37" s="151"/>
      <c r="C37" s="151"/>
      <c r="D37" s="151"/>
      <c r="E37" s="151"/>
      <c r="F37" s="151"/>
      <c r="G37" s="151"/>
      <c r="H37" s="151"/>
      <c r="I37" s="151"/>
      <c r="J37" s="151"/>
      <c r="K37" s="151"/>
      <c r="L37" s="495"/>
      <c r="M37" s="151"/>
      <c r="N37" s="151"/>
      <c r="O37" s="151"/>
      <c r="P37" s="151"/>
      <c r="Q37" s="151"/>
      <c r="S37" s="556" t="s">
        <v>424</v>
      </c>
      <c r="T37" s="556"/>
      <c r="U37" s="557"/>
      <c r="V37" s="558" t="str">
        <f>IF(TITLE_NUMBER_PR_CHANGE="",IF(TITLE_NUMBER_PR="","",TITLE_NUMBER_PR),TITLE_NUMBER_PR_CHANGE)</f>
        <v>ПГ/01/950</v>
      </c>
      <c r="W37" s="558"/>
      <c r="X37" s="558"/>
      <c r="Y37" s="558"/>
      <c r="Z37" s="558"/>
      <c r="AA37" s="558"/>
      <c r="AB37" s="558"/>
      <c r="AC37" s="50"/>
      <c r="AD37" s="558" t="str">
        <f>IF(TITLE_NUMBER_PR_CHANGE="",IF(TITLE_NUMBER_PR="","",TITLE_NUMBER_PR),TITLE_NUMBER_PR_CHANGE)</f>
        <v>ПГ/01/950</v>
      </c>
      <c r="AE37" s="558"/>
      <c r="AF37" s="558"/>
      <c r="AG37" s="558"/>
      <c r="AH37" s="558"/>
      <c r="AI37" s="558"/>
      <c r="AJ37" s="558"/>
      <c r="AK37" s="558"/>
      <c r="AL37" s="558"/>
      <c r="AM37" s="558"/>
      <c r="AN37" s="558"/>
      <c r="AO37" s="558"/>
      <c r="AP37" s="558"/>
      <c r="AQ37" s="558"/>
      <c r="AR37" s="558"/>
      <c r="AS37" s="558"/>
      <c r="AT37" s="558"/>
      <c r="AU37" s="558"/>
      <c r="AV37" s="558"/>
      <c r="AW37" s="558"/>
      <c r="AX37" s="558"/>
      <c r="AY37" s="558"/>
      <c r="AZ37" s="558"/>
      <c r="BA37" s="50"/>
      <c r="BB37" s="50"/>
      <c r="BC37" s="559"/>
      <c r="BD37" s="129"/>
      <c r="BE37" s="129"/>
      <c r="BF37" s="129"/>
      <c r="BG37" s="129"/>
      <c r="BH37" s="129"/>
      <c r="BI37" s="184">
        <v>0</v>
      </c>
    </row>
    <row r="38" s="184" customFormat="1" ht="0" customHeight="1">
      <c r="A38" s="151"/>
      <c r="B38" s="151"/>
      <c r="C38" s="151"/>
      <c r="D38" s="151"/>
      <c r="E38" s="151"/>
      <c r="F38" s="151"/>
      <c r="G38" s="151"/>
      <c r="H38" s="151"/>
      <c r="I38" s="151"/>
      <c r="J38" s="151"/>
      <c r="K38" s="151"/>
      <c r="L38" s="495"/>
      <c r="M38" s="151"/>
      <c r="N38" s="151"/>
      <c r="O38" s="151"/>
      <c r="P38" s="151"/>
      <c r="Q38" s="151"/>
      <c r="S38" s="50"/>
      <c r="T38" s="50"/>
      <c r="U38" s="140"/>
      <c r="V38" s="50"/>
      <c r="W38" s="50"/>
      <c r="X38" s="50"/>
      <c r="Y38" s="50"/>
      <c r="Z38" s="50"/>
      <c r="AA38" s="50"/>
      <c r="AB38" s="50"/>
      <c r="AC38" s="57" t="s">
        <v>427</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427</v>
      </c>
      <c r="BD38" s="129"/>
      <c r="BE38" s="129"/>
      <c r="BF38" s="129"/>
      <c r="BG38" s="129"/>
      <c r="BH38" s="129"/>
      <c r="BI38" s="184">
        <v>0</v>
      </c>
    </row>
    <row r="39" ht="14.65" customHeight="1">
      <c r="Q39" s="672"/>
      <c r="R39" s="553"/>
      <c r="S39" s="554"/>
      <c r="T39" s="91"/>
      <c r="U39" s="561"/>
      <c r="V39" s="562"/>
      <c r="W39" s="562"/>
      <c r="X39" s="562"/>
      <c r="Y39" s="562"/>
      <c r="Z39" s="562"/>
      <c r="AA39" s="562"/>
      <c r="AB39" s="562"/>
      <c r="AC39" s="562"/>
      <c r="AD39" s="562"/>
      <c r="AE39" s="562"/>
      <c r="AF39" s="562"/>
      <c r="AG39" s="562"/>
      <c r="AH39" s="562"/>
      <c r="AI39" s="562"/>
      <c r="AJ39" s="562"/>
      <c r="AK39" s="562"/>
      <c r="AL39" s="562"/>
      <c r="AM39" s="562"/>
      <c r="AN39" s="562"/>
      <c r="AO39" s="562"/>
      <c r="AP39" s="562"/>
      <c r="AQ39" s="562"/>
      <c r="AR39" s="562"/>
      <c r="AS39" s="562"/>
      <c r="AT39" s="562"/>
      <c r="AU39" s="562"/>
      <c r="AV39" s="562"/>
      <c r="AW39" s="562"/>
      <c r="AX39" s="562"/>
      <c r="AY39" s="562"/>
      <c r="AZ39" s="562"/>
      <c r="BA39" s="562"/>
      <c r="BI39" s="50">
        <v>14</v>
      </c>
    </row>
    <row r="40" ht="14.65" customHeight="1">
      <c r="Q40" s="672"/>
      <c r="R40" s="553"/>
      <c r="S40" s="157" t="s">
        <v>302</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303</v>
      </c>
      <c r="BI40" s="50">
        <v>14</v>
      </c>
    </row>
    <row r="41" ht="14.65" customHeight="1">
      <c r="Q41" s="672"/>
      <c r="R41" s="553"/>
      <c r="S41" s="498" t="s">
        <v>88</v>
      </c>
      <c r="T41" s="362" t="s">
        <v>509</v>
      </c>
      <c r="U41" s="563"/>
      <c r="V41" s="564" t="s">
        <v>429</v>
      </c>
      <c r="W41" s="565"/>
      <c r="X41" s="565"/>
      <c r="Y41" s="565"/>
      <c r="Z41" s="565"/>
      <c r="AA41" s="565"/>
      <c r="AB41" s="566"/>
      <c r="AC41" s="567" t="s">
        <v>430</v>
      </c>
      <c r="AD41" s="674" t="s">
        <v>510</v>
      </c>
      <c r="AE41" s="598"/>
      <c r="AF41" s="598"/>
      <c r="AG41" s="675"/>
      <c r="AH41" s="674" t="s">
        <v>511</v>
      </c>
      <c r="AI41" s="598"/>
      <c r="AJ41" s="598"/>
      <c r="AK41" s="675"/>
      <c r="AL41" s="674" t="s">
        <v>512</v>
      </c>
      <c r="AM41" s="598"/>
      <c r="AN41" s="598"/>
      <c r="AO41" s="675"/>
      <c r="AP41" s="674" t="s">
        <v>513</v>
      </c>
      <c r="AQ41" s="598"/>
      <c r="AR41" s="598"/>
      <c r="AS41" s="675"/>
      <c r="AT41" s="564" t="s">
        <v>429</v>
      </c>
      <c r="AU41" s="565"/>
      <c r="AV41" s="565"/>
      <c r="AW41" s="565"/>
      <c r="AX41" s="565"/>
      <c r="AY41" s="565"/>
      <c r="AZ41" s="566"/>
      <c r="BA41" s="567" t="s">
        <v>430</v>
      </c>
      <c r="BB41" s="568" t="s">
        <v>432</v>
      </c>
      <c r="BC41" s="157"/>
      <c r="BI41" s="50">
        <v>14</v>
      </c>
    </row>
    <row r="42" ht="35.649999999999999" customHeight="1">
      <c r="Q42" s="672"/>
      <c r="R42" s="553"/>
      <c r="S42" s="498"/>
      <c r="T42" s="362"/>
      <c r="U42" s="569"/>
      <c r="V42" s="321" t="s">
        <v>514</v>
      </c>
      <c r="W42" s="322"/>
      <c r="X42" s="321" t="s">
        <v>515</v>
      </c>
      <c r="Y42" s="322"/>
      <c r="Z42" s="321" t="s">
        <v>516</v>
      </c>
      <c r="AA42" s="640"/>
      <c r="AB42" s="322"/>
      <c r="AC42" s="571"/>
      <c r="AD42" s="677"/>
      <c r="AE42" s="678"/>
      <c r="AF42" s="678"/>
      <c r="AG42" s="679"/>
      <c r="AH42" s="677"/>
      <c r="AI42" s="678"/>
      <c r="AJ42" s="678"/>
      <c r="AK42" s="679"/>
      <c r="AL42" s="677"/>
      <c r="AM42" s="678"/>
      <c r="AN42" s="678"/>
      <c r="AO42" s="679"/>
      <c r="AP42" s="677"/>
      <c r="AQ42" s="678"/>
      <c r="AR42" s="678"/>
      <c r="AS42" s="679"/>
      <c r="AT42" s="321" t="s">
        <v>514</v>
      </c>
      <c r="AU42" s="322"/>
      <c r="AV42" s="321" t="s">
        <v>515</v>
      </c>
      <c r="AW42" s="322"/>
      <c r="AX42" s="321" t="s">
        <v>516</v>
      </c>
      <c r="AY42" s="640"/>
      <c r="AZ42" s="322"/>
      <c r="BA42" s="571"/>
      <c r="BB42" s="572"/>
      <c r="BC42" s="157"/>
      <c r="BI42" s="50">
        <v>34</v>
      </c>
    </row>
    <row r="43" ht="14.65" customHeight="1">
      <c r="Q43" s="672"/>
      <c r="R43" s="553"/>
      <c r="S43" s="498"/>
      <c r="T43" s="362"/>
      <c r="U43" s="569"/>
      <c r="V43" s="327"/>
      <c r="W43" s="328"/>
      <c r="X43" s="327"/>
      <c r="Y43" s="328"/>
      <c r="Z43" s="327"/>
      <c r="AA43" s="641"/>
      <c r="AB43" s="328"/>
      <c r="AC43" s="571"/>
      <c r="AD43" s="677"/>
      <c r="AE43" s="678"/>
      <c r="AF43" s="678"/>
      <c r="AG43" s="679"/>
      <c r="AH43" s="677"/>
      <c r="AI43" s="678"/>
      <c r="AJ43" s="678"/>
      <c r="AK43" s="679"/>
      <c r="AL43" s="677"/>
      <c r="AM43" s="678"/>
      <c r="AN43" s="678"/>
      <c r="AO43" s="679"/>
      <c r="AP43" s="677"/>
      <c r="AQ43" s="678"/>
      <c r="AR43" s="678"/>
      <c r="AS43" s="679"/>
      <c r="AT43" s="327"/>
      <c r="AU43" s="328"/>
      <c r="AV43" s="327"/>
      <c r="AW43" s="328"/>
      <c r="AX43" s="327"/>
      <c r="AY43" s="641"/>
      <c r="AZ43" s="328"/>
      <c r="BA43" s="571"/>
      <c r="BB43" s="572"/>
      <c r="BC43" s="157"/>
      <c r="BI43" s="50">
        <v>14</v>
      </c>
    </row>
    <row r="44" ht="14.65" customHeight="1">
      <c r="A44" s="151"/>
      <c r="B44" s="151" t="s">
        <v>135</v>
      </c>
      <c r="C44" s="151" t="s">
        <v>136</v>
      </c>
      <c r="D44" s="151" t="s">
        <v>137</v>
      </c>
      <c r="E44" s="495" t="s">
        <v>437</v>
      </c>
      <c r="F44" s="495" t="s">
        <v>438</v>
      </c>
      <c r="G44" s="495" t="s">
        <v>439</v>
      </c>
      <c r="H44" s="495" t="s">
        <v>440</v>
      </c>
      <c r="I44" s="495" t="s">
        <v>441</v>
      </c>
      <c r="J44" s="495" t="s">
        <v>442</v>
      </c>
      <c r="K44" s="495" t="s">
        <v>443</v>
      </c>
      <c r="L44" s="495" t="s">
        <v>418</v>
      </c>
      <c r="Q44" s="672"/>
      <c r="R44" s="553"/>
      <c r="S44" s="498"/>
      <c r="T44" s="362"/>
      <c r="U44" s="573"/>
      <c r="V44" s="362" t="s">
        <v>477</v>
      </c>
      <c r="W44" s="362" t="s">
        <v>478</v>
      </c>
      <c r="X44" s="362" t="s">
        <v>477</v>
      </c>
      <c r="Y44" s="362" t="s">
        <v>478</v>
      </c>
      <c r="Z44" s="246" t="s">
        <v>446</v>
      </c>
      <c r="AA44" s="429" t="s">
        <v>447</v>
      </c>
      <c r="AB44" s="431"/>
      <c r="AC44" s="575"/>
      <c r="AD44" s="683"/>
      <c r="AE44" s="684"/>
      <c r="AF44" s="684"/>
      <c r="AG44" s="685"/>
      <c r="AH44" s="683"/>
      <c r="AI44" s="684"/>
      <c r="AJ44" s="684"/>
      <c r="AK44" s="685"/>
      <c r="AL44" s="683"/>
      <c r="AM44" s="684"/>
      <c r="AN44" s="684"/>
      <c r="AO44" s="685"/>
      <c r="AP44" s="683"/>
      <c r="AQ44" s="684"/>
      <c r="AR44" s="684"/>
      <c r="AS44" s="685"/>
      <c r="AT44" s="362" t="s">
        <v>477</v>
      </c>
      <c r="AU44" s="362" t="s">
        <v>478</v>
      </c>
      <c r="AV44" s="362" t="s">
        <v>477</v>
      </c>
      <c r="AW44" s="362" t="s">
        <v>478</v>
      </c>
      <c r="AX44" s="246" t="s">
        <v>446</v>
      </c>
      <c r="AY44" s="429" t="s">
        <v>447</v>
      </c>
      <c r="AZ44" s="431"/>
      <c r="BA44" s="575"/>
      <c r="BB44" s="576"/>
      <c r="BC44" s="157"/>
      <c r="BI44" s="50">
        <v>14</v>
      </c>
    </row>
    <row r="45" s="131" customFormat="1" ht="0" customHeight="1">
      <c r="A45" s="151"/>
      <c r="B45" s="151"/>
      <c r="C45" s="151"/>
      <c r="D45" s="151"/>
      <c r="E45" s="151"/>
      <c r="F45" s="151"/>
      <c r="G45" s="151"/>
      <c r="H45" s="151"/>
      <c r="I45" s="151"/>
      <c r="J45" s="151"/>
      <c r="K45" s="151"/>
      <c r="L45" s="495"/>
      <c r="M45" s="61"/>
      <c r="N45" s="61"/>
      <c r="O45" s="61"/>
      <c r="P45" s="610"/>
      <c r="Q45" s="579"/>
      <c r="R45" s="579">
        <v>1</v>
      </c>
      <c r="S45" s="580" t="s">
        <v>109</v>
      </c>
      <c r="T45" s="581" t="s">
        <v>110</v>
      </c>
      <c r="U45" s="582" t="str">
        <f ca="1">OFFSET(U45,0,-1)</f>
        <v>2</v>
      </c>
      <c r="V45" s="583">
        <f ca="1">OFFSET(V45,0,-1)+1</f>
        <v>3</v>
      </c>
      <c r="W45" s="583">
        <f ca="1">OFFSET(W45,0,-1)+1</f>
        <v>4</v>
      </c>
      <c r="X45" s="583">
        <f ca="1">OFFSET(X45,0,-1)+1</f>
        <v>5</v>
      </c>
      <c r="Y45" s="583">
        <f ca="1">OFFSET(Y45,0,-1)+1</f>
        <v>6</v>
      </c>
      <c r="Z45" s="583">
        <f ca="1">OFFSET(Z45,0,-1)+1</f>
        <v>7</v>
      </c>
      <c r="AA45" s="583">
        <f ca="1">OFFSET(AA45,0,-1)+1</f>
        <v>8</v>
      </c>
      <c r="AB45" s="583"/>
      <c r="AC45" s="583">
        <f ca="1">OFFSET(AC45,0,-2)+1</f>
        <v>9</v>
      </c>
      <c r="AD45" s="583">
        <f ca="1">OFFSET(AD45,0,-1)+1</f>
        <v>10</v>
      </c>
      <c r="AE45" s="583"/>
      <c r="AF45" s="583"/>
      <c r="AG45" s="583"/>
      <c r="AH45" s="583"/>
      <c r="AI45" s="583"/>
      <c r="AJ45" s="583"/>
      <c r="AK45" s="583"/>
      <c r="AL45" s="583"/>
      <c r="AM45" s="583"/>
      <c r="AN45" s="583"/>
      <c r="AO45" s="583"/>
      <c r="AP45" s="583"/>
      <c r="AQ45" s="583"/>
      <c r="AR45" s="583"/>
      <c r="AS45" s="583"/>
      <c r="AT45" s="583"/>
      <c r="AU45" s="583"/>
      <c r="AV45" s="583"/>
      <c r="AW45" s="583">
        <f ca="1">OFFSET(AW45,0,-1)+1</f>
        <v>1</v>
      </c>
      <c r="AX45" s="583">
        <f ca="1">OFFSET(AX45,0,-1)+1</f>
        <v>2</v>
      </c>
      <c r="AY45" s="583">
        <f ca="1">OFFSET(AY45,0,-1)+1</f>
        <v>3</v>
      </c>
      <c r="AZ45" s="583"/>
      <c r="BA45" s="583">
        <f ca="1">OFFSET(BA45,0,-2)+1</f>
        <v>4</v>
      </c>
      <c r="BB45" s="582">
        <f ca="1">OFFSET(BB45,0,-1)</f>
        <v>4</v>
      </c>
      <c r="BC45" s="583">
        <f ca="1">OFFSET(BC45,0,-1)+1</f>
        <v>5</v>
      </c>
      <c r="BD45" s="57"/>
      <c r="BE45" s="57"/>
      <c r="BF45" s="57"/>
      <c r="BG45" s="57"/>
      <c r="BH45" s="57"/>
      <c r="BI45" s="131">
        <v>0</v>
      </c>
    </row>
    <row r="46" ht="22" customHeight="1">
      <c r="A46" s="493" t="s">
        <v>263</v>
      </c>
      <c r="B46" s="493"/>
      <c r="C46" s="493"/>
      <c r="D46" s="493"/>
      <c r="E46" s="494">
        <v>1</v>
      </c>
      <c r="F46" s="493"/>
      <c r="G46" s="493"/>
      <c r="H46" s="493"/>
      <c r="I46" s="493"/>
      <c r="J46" s="493"/>
      <c r="K46" s="493"/>
      <c r="L46" s="495"/>
      <c r="M46" s="496"/>
      <c r="N46" s="496"/>
      <c r="O46" s="496"/>
      <c r="P46" s="61"/>
      <c r="Q46" s="64"/>
      <c r="R46" s="497"/>
      <c r="S46" s="498">
        <f>INDEX(PT_DIFFERENTIATION_NUM_NTAR,MATCH(A46,PT_DIFFERENTIATION_NTAR_ID,0))</f>
        <v>0</v>
      </c>
      <c r="T46" s="499" t="s">
        <v>123</v>
      </c>
      <c r="U46" s="500"/>
      <c r="V46" s="502"/>
      <c r="W46" s="502"/>
      <c r="X46" s="502"/>
      <c r="Y46" s="502"/>
      <c r="Z46" s="502"/>
      <c r="AA46" s="502"/>
      <c r="AB46" s="502"/>
      <c r="AC46" s="503"/>
      <c r="AD46" s="501" t="str">
        <f>INDEX(PT_DIFFERENTIATION_NTAR,MATCH(A46,PT_DIFFERENTIATION_NTAR_ID,0))</f>
        <v/>
      </c>
      <c r="AE46" s="502"/>
      <c r="AF46" s="502"/>
      <c r="AG46" s="502"/>
      <c r="AH46" s="502"/>
      <c r="AI46" s="502"/>
      <c r="AJ46" s="502"/>
      <c r="AK46" s="502"/>
      <c r="AL46" s="502"/>
      <c r="AM46" s="502"/>
      <c r="AN46" s="502"/>
      <c r="AO46" s="502"/>
      <c r="AP46" s="502"/>
      <c r="AQ46" s="502"/>
      <c r="AR46" s="502"/>
      <c r="AS46" s="502"/>
      <c r="AT46" s="502"/>
      <c r="AU46" s="502"/>
      <c r="AV46" s="502"/>
      <c r="AW46" s="502"/>
      <c r="AX46" s="502"/>
      <c r="AY46" s="502"/>
      <c r="AZ46" s="502"/>
      <c r="BA46" s="502"/>
      <c r="BB46" s="503"/>
      <c r="BC46"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46"/>
        <v xml:space="preserve">Наименование тарифа</v>
      </c>
      <c r="BG46" s="129"/>
      <c r="BH46" s="129"/>
      <c r="BI46" s="50">
        <v>21</v>
      </c>
    </row>
    <row r="47" ht="22" customHeight="1">
      <c r="A47" s="493" t="s">
        <v>263</v>
      </c>
      <c r="B47" s="493" t="s">
        <v>264</v>
      </c>
      <c r="C47" s="493"/>
      <c r="D47" s="493"/>
      <c r="E47" s="505"/>
      <c r="F47" s="494">
        <v>1</v>
      </c>
      <c r="G47" s="493"/>
      <c r="H47" s="493"/>
      <c r="I47" s="493"/>
      <c r="J47" s="493"/>
      <c r="K47" s="493"/>
      <c r="L47" s="495"/>
      <c r="M47" s="496"/>
      <c r="N47" s="496"/>
      <c r="O47" s="496"/>
      <c r="P47" s="113"/>
      <c r="Q47" s="643"/>
      <c r="R47" s="507"/>
      <c r="S47" s="498" t="str">
        <f>INDEX(PT_DIFFERENTIATION_NUM_TER,MATCH(B47,PT_DIFFERENTIATION_TER_ID,0))</f>
        <v>.</v>
      </c>
      <c r="T47" s="508" t="s">
        <v>399</v>
      </c>
      <c r="U47" s="500"/>
      <c r="V47" s="502"/>
      <c r="W47" s="502"/>
      <c r="X47" s="502"/>
      <c r="Y47" s="502"/>
      <c r="Z47" s="502"/>
      <c r="AA47" s="502"/>
      <c r="AB47" s="502"/>
      <c r="AC47" s="503"/>
      <c r="AD47" s="501" t="str">
        <f>INDEX(PT_DIFFERENTIATION_TER,MATCH(B47,PT_DIFFERENTIATION_TER_ID,0))</f>
        <v/>
      </c>
      <c r="AE47" s="502"/>
      <c r="AF47" s="502"/>
      <c r="AG47" s="502"/>
      <c r="AH47" s="502"/>
      <c r="AI47" s="502"/>
      <c r="AJ47" s="502"/>
      <c r="AK47" s="502"/>
      <c r="AL47" s="502"/>
      <c r="AM47" s="502"/>
      <c r="AN47" s="502"/>
      <c r="AO47" s="502"/>
      <c r="AP47" s="502"/>
      <c r="AQ47" s="502"/>
      <c r="AR47" s="502"/>
      <c r="AS47" s="502"/>
      <c r="AT47" s="502"/>
      <c r="AU47" s="502"/>
      <c r="AV47" s="502"/>
      <c r="AW47" s="502"/>
      <c r="AX47" s="502"/>
      <c r="AY47" s="502"/>
      <c r="AZ47" s="502"/>
      <c r="BA47" s="502"/>
      <c r="BB47" s="503"/>
      <c r="BC47" s="504" t="s">
        <v>400</v>
      </c>
      <c r="BE47" s="129"/>
      <c r="BF47" s="129" t="str">
        <f t="shared" si="46"/>
        <v xml:space="preserve">Территория действия тарифа</v>
      </c>
      <c r="BG47" s="129"/>
      <c r="BH47" s="129"/>
      <c r="BI47" s="50">
        <v>21</v>
      </c>
    </row>
    <row r="48" ht="35.649999999999999" customHeight="1">
      <c r="A48" s="493" t="s">
        <v>263</v>
      </c>
      <c r="B48" s="493" t="s">
        <v>264</v>
      </c>
      <c r="C48" s="493" t="s">
        <v>265</v>
      </c>
      <c r="D48" s="493"/>
      <c r="E48" s="505"/>
      <c r="F48" s="505"/>
      <c r="G48" s="494">
        <v>1</v>
      </c>
      <c r="H48" s="493"/>
      <c r="I48" s="493"/>
      <c r="J48" s="493"/>
      <c r="K48" s="493"/>
      <c r="L48" s="495"/>
      <c r="M48" s="496"/>
      <c r="N48" s="496"/>
      <c r="O48" s="496"/>
      <c r="P48" s="135"/>
      <c r="Q48" s="643"/>
      <c r="R48" s="507"/>
      <c r="S48" s="498" t="str">
        <f>INDEX(PT_DIFFERENTIATION_NUM_CS,MATCH(C48,PT_DIFFERENTIATION_CS_ID,0))</f>
        <v>..</v>
      </c>
      <c r="T48" s="510" t="s">
        <v>532</v>
      </c>
      <c r="U48" s="500"/>
      <c r="V48" s="502"/>
      <c r="W48" s="502"/>
      <c r="X48" s="502"/>
      <c r="Y48" s="502"/>
      <c r="Z48" s="502"/>
      <c r="AA48" s="502"/>
      <c r="AB48" s="502"/>
      <c r="AC48" s="503"/>
      <c r="AD48" s="501" t="str">
        <f>INDEX(PT_DIFFERENTIATION_CS,MATCH(C48,PT_DIFFERENTIATION_CS_ID,0))</f>
        <v/>
      </c>
      <c r="AE48" s="502"/>
      <c r="AF48" s="502"/>
      <c r="AG48" s="502"/>
      <c r="AH48" s="502"/>
      <c r="AI48" s="502"/>
      <c r="AJ48" s="502"/>
      <c r="AK48" s="502"/>
      <c r="AL48" s="502"/>
      <c r="AM48" s="502"/>
      <c r="AN48" s="502"/>
      <c r="AO48" s="502"/>
      <c r="AP48" s="502"/>
      <c r="AQ48" s="502"/>
      <c r="AR48" s="502"/>
      <c r="AS48" s="502"/>
      <c r="AT48" s="502"/>
      <c r="AU48" s="502"/>
      <c r="AV48" s="502"/>
      <c r="AW48" s="502"/>
      <c r="AX48" s="502"/>
      <c r="AY48" s="502"/>
      <c r="AZ48" s="502"/>
      <c r="BA48" s="502"/>
      <c r="BB48" s="503"/>
      <c r="BC48" s="504" t="s">
        <v>533</v>
      </c>
      <c r="BE48" s="129"/>
      <c r="BF48" s="129" t="str">
        <f t="shared" si="46"/>
        <v xml:space="preserve">Наименование централизованной системы горячего водоснабжения</v>
      </c>
      <c r="BG48" s="129"/>
      <c r="BH48" s="129"/>
      <c r="BI48" s="50">
        <v>34</v>
      </c>
    </row>
    <row r="49" s="57" customFormat="1" ht="0" customHeight="1">
      <c r="A49" s="133" t="s">
        <v>263</v>
      </c>
      <c r="B49" s="133" t="s">
        <v>264</v>
      </c>
      <c r="C49" s="133" t="s">
        <v>265</v>
      </c>
      <c r="D49" s="133" t="s">
        <v>546</v>
      </c>
      <c r="E49" s="505"/>
      <c r="F49" s="505"/>
      <c r="G49" s="505"/>
      <c r="H49" s="494">
        <v>1</v>
      </c>
      <c r="I49" s="133"/>
      <c r="J49" s="133"/>
      <c r="K49" s="133"/>
      <c r="L49" s="212"/>
      <c r="M49" s="478"/>
      <c r="N49" s="478"/>
      <c r="O49" s="478"/>
      <c r="P49" s="751"/>
      <c r="Q49" s="752"/>
      <c r="R49" s="518"/>
      <c r="S49" s="366"/>
      <c r="T49" s="753"/>
      <c r="U49" s="601"/>
      <c r="V49" s="603"/>
      <c r="W49" s="603"/>
      <c r="X49" s="603"/>
      <c r="Y49" s="603"/>
      <c r="Z49" s="603"/>
      <c r="AA49" s="603"/>
      <c r="AB49" s="603"/>
      <c r="AC49" s="604"/>
      <c r="AD49" s="602"/>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4"/>
      <c r="BC49" s="605" t="s">
        <v>404</v>
      </c>
      <c r="BE49" s="129"/>
      <c r="BF49" s="129" t="str">
        <f t="shared" si="46"/>
        <v/>
      </c>
      <c r="BG49" s="129"/>
      <c r="BH49" s="129"/>
      <c r="BI49" s="57">
        <v>0</v>
      </c>
    </row>
    <row r="50" s="57" customFormat="1" ht="0" customHeight="1">
      <c r="A50" s="133" t="s">
        <v>263</v>
      </c>
      <c r="B50" s="133" t="s">
        <v>264</v>
      </c>
      <c r="C50" s="133" t="s">
        <v>265</v>
      </c>
      <c r="D50" s="133" t="s">
        <v>546</v>
      </c>
      <c r="E50" s="505"/>
      <c r="F50" s="505"/>
      <c r="G50" s="505"/>
      <c r="H50" s="505"/>
      <c r="I50" s="512" t="str">
        <f>S49&amp;".1"</f>
        <v>.1</v>
      </c>
      <c r="J50" s="133"/>
      <c r="K50" s="133"/>
      <c r="L50" s="212" t="s">
        <v>405</v>
      </c>
      <c r="M50" s="610"/>
      <c r="N50" s="610"/>
      <c r="O50" s="610"/>
      <c r="P50" s="132">
        <v>1</v>
      </c>
      <c r="Q50" s="132"/>
      <c r="R50" s="513"/>
      <c r="S50" s="366"/>
      <c r="T50" s="600"/>
      <c r="U50" s="601"/>
      <c r="V50" s="603"/>
      <c r="W50" s="603"/>
      <c r="X50" s="603"/>
      <c r="Y50" s="603"/>
      <c r="Z50" s="603"/>
      <c r="AA50" s="603"/>
      <c r="AB50" s="603"/>
      <c r="AC50" s="604"/>
      <c r="AD50" s="602"/>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4"/>
      <c r="BC50" s="605"/>
      <c r="BE50" s="129"/>
      <c r="BF50" s="129" t="str">
        <f t="shared" si="46"/>
        <v/>
      </c>
      <c r="BG50" s="129"/>
      <c r="BH50" s="129"/>
      <c r="BI50" s="57">
        <v>0</v>
      </c>
    </row>
    <row r="51" s="57" customFormat="1" ht="0" customHeight="1">
      <c r="A51" s="133" t="s">
        <v>263</v>
      </c>
      <c r="B51" s="133" t="s">
        <v>264</v>
      </c>
      <c r="C51" s="133" t="s">
        <v>265</v>
      </c>
      <c r="D51" s="133" t="s">
        <v>546</v>
      </c>
      <c r="E51" s="505"/>
      <c r="F51" s="505"/>
      <c r="G51" s="505"/>
      <c r="H51" s="505"/>
      <c r="I51" s="517"/>
      <c r="J51" s="512" t="str">
        <f>S49&amp;".1"</f>
        <v>.1</v>
      </c>
      <c r="K51" s="133"/>
      <c r="L51" s="212"/>
      <c r="M51" s="610"/>
      <c r="N51" s="610"/>
      <c r="O51" s="610"/>
      <c r="P51" s="132"/>
      <c r="Q51" s="132">
        <v>1</v>
      </c>
      <c r="R51" s="518"/>
      <c r="S51" s="366"/>
      <c r="T51" s="644"/>
      <c r="U51" s="601"/>
      <c r="V51" s="603"/>
      <c r="W51" s="603"/>
      <c r="X51" s="603"/>
      <c r="Y51" s="603"/>
      <c r="Z51" s="603"/>
      <c r="AA51" s="603"/>
      <c r="AB51" s="603"/>
      <c r="AC51" s="604"/>
      <c r="AD51" s="602"/>
      <c r="AE51" s="603"/>
      <c r="AF51" s="603"/>
      <c r="AG51" s="603"/>
      <c r="AH51" s="603"/>
      <c r="AI51" s="603"/>
      <c r="AJ51" s="603"/>
      <c r="AK51" s="603"/>
      <c r="AL51" s="603"/>
      <c r="AM51" s="603"/>
      <c r="AN51" s="760"/>
      <c r="AO51" s="760"/>
      <c r="AP51" s="603"/>
      <c r="AQ51" s="603"/>
      <c r="AR51" s="603"/>
      <c r="AS51" s="603"/>
      <c r="AT51" s="603"/>
      <c r="AU51" s="603"/>
      <c r="AV51" s="603"/>
      <c r="AW51" s="603"/>
      <c r="AX51" s="603"/>
      <c r="AY51" s="603"/>
      <c r="AZ51" s="603"/>
      <c r="BA51" s="603"/>
      <c r="BB51" s="604"/>
      <c r="BC51" s="605"/>
      <c r="BE51" s="129"/>
      <c r="BF51" s="129" t="str">
        <f t="shared" si="46"/>
        <v/>
      </c>
      <c r="BG51" s="129"/>
      <c r="BH51" s="129"/>
      <c r="BI51" s="57">
        <v>0</v>
      </c>
    </row>
    <row r="52" ht="11.5" customHeight="1">
      <c r="A52" s="493" t="s">
        <v>263</v>
      </c>
      <c r="B52" s="493" t="s">
        <v>264</v>
      </c>
      <c r="C52" s="493" t="s">
        <v>265</v>
      </c>
      <c r="D52" s="493" t="s">
        <v>546</v>
      </c>
      <c r="E52" s="505"/>
      <c r="F52" s="505"/>
      <c r="G52" s="505"/>
      <c r="H52" s="505"/>
      <c r="I52" s="517"/>
      <c r="J52" s="517"/>
      <c r="K52" s="512" t="str">
        <f>S48&amp;".1"</f>
        <v>...1</v>
      </c>
      <c r="L52" s="495"/>
      <c r="P52" s="132"/>
      <c r="Q52" s="132"/>
      <c r="R52" s="518">
        <v>1</v>
      </c>
      <c r="S52" s="612" t="str">
        <f>$K52</f>
        <v>...1</v>
      </c>
      <c r="T52" s="746"/>
      <c r="U52" s="500"/>
      <c r="V52" s="521"/>
      <c r="W52" s="523"/>
      <c r="X52" s="521"/>
      <c r="Y52" s="523"/>
      <c r="Z52" s="524"/>
      <c r="AA52" s="224" t="s">
        <v>66</v>
      </c>
      <c r="AB52" s="524"/>
      <c r="AC52" s="224" t="s">
        <v>66</v>
      </c>
      <c r="AD52" s="296" t="s">
        <v>66</v>
      </c>
      <c r="AE52" s="647"/>
      <c r="AF52" s="360">
        <v>1</v>
      </c>
      <c r="AG52" s="747"/>
      <c r="AH52" s="224" t="s">
        <v>66</v>
      </c>
      <c r="AI52" s="647"/>
      <c r="AJ52" s="360">
        <v>1</v>
      </c>
      <c r="AK52" s="87" t="s">
        <v>28</v>
      </c>
      <c r="AL52" s="224" t="s">
        <v>66</v>
      </c>
      <c r="AM52" s="321"/>
      <c r="AN52" s="360">
        <v>1</v>
      </c>
      <c r="AO52" s="754"/>
      <c r="AP52" s="755" t="s">
        <v>66</v>
      </c>
      <c r="AQ52" s="648"/>
      <c r="AR52" s="360">
        <v>1</v>
      </c>
      <c r="AS52" s="95" t="s">
        <v>28</v>
      </c>
      <c r="AT52" s="521"/>
      <c r="AU52" s="523"/>
      <c r="AV52" s="521"/>
      <c r="AW52" s="523"/>
      <c r="AX52" s="524"/>
      <c r="AY52" s="224" t="s">
        <v>66</v>
      </c>
      <c r="AZ52" s="524"/>
      <c r="BA52" s="224" t="s">
        <v>66</v>
      </c>
      <c r="BB52" s="585"/>
      <c r="BC52" s="525" t="s">
        <v>503</v>
      </c>
      <c r="BE52" s="129"/>
      <c r="BF52" s="129" t="str">
        <f t="shared" si="46"/>
        <v/>
      </c>
      <c r="BG52" s="129"/>
      <c r="BH52" s="129"/>
      <c r="BI52" s="50">
        <v>11</v>
      </c>
    </row>
    <row r="53" ht="11.5" customHeight="1">
      <c r="A53" s="493"/>
      <c r="B53" s="493"/>
      <c r="C53" s="493"/>
      <c r="D53" s="493"/>
      <c r="E53" s="505"/>
      <c r="F53" s="505"/>
      <c r="G53" s="505"/>
      <c r="H53" s="505"/>
      <c r="I53" s="517"/>
      <c r="J53" s="517"/>
      <c r="K53" s="512"/>
      <c r="L53" s="495"/>
      <c r="P53" s="132"/>
      <c r="Q53" s="132"/>
      <c r="R53" s="518"/>
      <c r="S53" s="649"/>
      <c r="T53" s="756"/>
      <c r="U53" s="500"/>
      <c r="V53" s="636"/>
      <c r="W53" s="653"/>
      <c r="X53" s="636"/>
      <c r="Y53" s="653"/>
      <c r="Z53" s="636"/>
      <c r="AA53" s="636"/>
      <c r="AB53" s="636"/>
      <c r="AC53" s="636"/>
      <c r="AD53" s="301"/>
      <c r="AE53" s="647"/>
      <c r="AF53" s="360"/>
      <c r="AG53" s="747"/>
      <c r="AH53" s="224"/>
      <c r="AI53" s="647"/>
      <c r="AJ53" s="360"/>
      <c r="AK53" s="87"/>
      <c r="AL53" s="224"/>
      <c r="AM53" s="327"/>
      <c r="AN53" s="360"/>
      <c r="AO53" s="754"/>
      <c r="AP53" s="757"/>
      <c r="AQ53" s="652"/>
      <c r="AR53" s="177"/>
      <c r="AS53" s="177" t="s">
        <v>504</v>
      </c>
      <c r="AT53" s="636"/>
      <c r="AU53" s="653"/>
      <c r="AV53" s="636"/>
      <c r="AW53" s="653"/>
      <c r="AX53" s="636"/>
      <c r="AY53" s="636"/>
      <c r="AZ53" s="636"/>
      <c r="BA53" s="636"/>
      <c r="BB53" s="651"/>
      <c r="BC53" s="528"/>
      <c r="BE53" s="129"/>
      <c r="BF53" s="129"/>
      <c r="BG53" s="129"/>
      <c r="BH53" s="129"/>
      <c r="BI53" s="50">
        <v>11</v>
      </c>
    </row>
    <row r="54" ht="11.5" customHeight="1">
      <c r="A54" s="493" t="s">
        <v>263</v>
      </c>
      <c r="B54" s="493"/>
      <c r="C54" s="493"/>
      <c r="D54" s="493"/>
      <c r="E54" s="505"/>
      <c r="F54" s="505"/>
      <c r="G54" s="505"/>
      <c r="H54" s="505"/>
      <c r="I54" s="517"/>
      <c r="J54" s="517"/>
      <c r="K54" s="512"/>
      <c r="L54" s="495"/>
      <c r="P54" s="132"/>
      <c r="Q54" s="132"/>
      <c r="R54" s="518"/>
      <c r="S54" s="649"/>
      <c r="T54" s="756"/>
      <c r="U54" s="500"/>
      <c r="V54" s="636"/>
      <c r="W54" s="653"/>
      <c r="X54" s="636"/>
      <c r="Y54" s="653"/>
      <c r="Z54" s="636"/>
      <c r="AA54" s="636"/>
      <c r="AB54" s="636"/>
      <c r="AC54" s="636"/>
      <c r="AD54" s="301"/>
      <c r="AE54" s="647"/>
      <c r="AF54" s="360"/>
      <c r="AG54" s="747"/>
      <c r="AH54" s="224"/>
      <c r="AI54" s="647"/>
      <c r="AJ54" s="360"/>
      <c r="AK54" s="87"/>
      <c r="AL54" s="224"/>
      <c r="AM54" s="652"/>
      <c r="AN54" s="758"/>
      <c r="AO54" s="758" t="s">
        <v>505</v>
      </c>
      <c r="AP54" s="177"/>
      <c r="AQ54" s="177"/>
      <c r="AR54" s="177"/>
      <c r="AS54" s="636"/>
      <c r="AT54" s="636"/>
      <c r="AU54" s="653"/>
      <c r="AV54" s="636"/>
      <c r="AW54" s="653"/>
      <c r="AX54" s="636"/>
      <c r="AY54" s="636"/>
      <c r="AZ54" s="636"/>
      <c r="BA54" s="636"/>
      <c r="BB54" s="651"/>
      <c r="BC54" s="528"/>
      <c r="BE54" s="129"/>
      <c r="BF54" s="129"/>
      <c r="BG54" s="129"/>
      <c r="BH54" s="129"/>
      <c r="BI54" s="50">
        <v>11</v>
      </c>
    </row>
    <row r="55" ht="11.5" customHeight="1">
      <c r="A55" s="493" t="s">
        <v>263</v>
      </c>
      <c r="B55" s="493"/>
      <c r="C55" s="493"/>
      <c r="D55" s="493"/>
      <c r="E55" s="505"/>
      <c r="F55" s="505"/>
      <c r="G55" s="505"/>
      <c r="H55" s="505"/>
      <c r="I55" s="517"/>
      <c r="J55" s="517"/>
      <c r="K55" s="512"/>
      <c r="L55" s="495"/>
      <c r="P55" s="132"/>
      <c r="Q55" s="132"/>
      <c r="R55" s="518"/>
      <c r="S55" s="649"/>
      <c r="T55" s="756"/>
      <c r="U55" s="500"/>
      <c r="V55" s="636"/>
      <c r="W55" s="653"/>
      <c r="X55" s="636"/>
      <c r="Y55" s="653"/>
      <c r="Z55" s="636"/>
      <c r="AA55" s="636"/>
      <c r="AB55" s="636"/>
      <c r="AC55" s="636"/>
      <c r="AD55" s="301"/>
      <c r="AE55" s="647"/>
      <c r="AF55" s="360"/>
      <c r="AG55" s="747"/>
      <c r="AH55" s="224"/>
      <c r="AI55" s="655"/>
      <c r="AJ55" s="172"/>
      <c r="AK55" s="455" t="s">
        <v>506</v>
      </c>
      <c r="AL55" s="636"/>
      <c r="AM55" s="636"/>
      <c r="AN55" s="636"/>
      <c r="AO55" s="636"/>
      <c r="AP55" s="636"/>
      <c r="AQ55" s="636"/>
      <c r="AR55" s="636"/>
      <c r="AS55" s="636"/>
      <c r="AT55" s="636"/>
      <c r="AU55" s="653"/>
      <c r="AV55" s="636"/>
      <c r="AW55" s="653"/>
      <c r="AX55" s="636"/>
      <c r="AY55" s="636"/>
      <c r="AZ55" s="636"/>
      <c r="BA55" s="636"/>
      <c r="BB55" s="651"/>
      <c r="BC55" s="528"/>
      <c r="BE55" s="129"/>
      <c r="BF55" s="129"/>
      <c r="BG55" s="129"/>
      <c r="BH55" s="129"/>
      <c r="BI55" s="50">
        <v>11</v>
      </c>
    </row>
    <row r="56" ht="11.5" customHeight="1">
      <c r="A56" s="493" t="s">
        <v>263</v>
      </c>
      <c r="B56" s="493" t="s">
        <v>264</v>
      </c>
      <c r="C56" s="493" t="s">
        <v>265</v>
      </c>
      <c r="D56" s="493" t="s">
        <v>546</v>
      </c>
      <c r="E56" s="505"/>
      <c r="F56" s="505"/>
      <c r="G56" s="505"/>
      <c r="H56" s="505"/>
      <c r="I56" s="517"/>
      <c r="J56" s="517"/>
      <c r="K56" s="512"/>
      <c r="L56" s="495"/>
      <c r="P56" s="132"/>
      <c r="Q56" s="132"/>
      <c r="R56" s="518"/>
      <c r="S56" s="622"/>
      <c r="T56" s="759"/>
      <c r="U56" s="500"/>
      <c r="V56" s="636"/>
      <c r="W56" s="637" t="str">
        <f>Z52&amp;"-"&amp;AB52</f>
        <v>-</v>
      </c>
      <c r="X56" s="636"/>
      <c r="Y56" s="637" t="str">
        <f>AB52&amp;"-"&amp;AD52</f>
        <v>-да</v>
      </c>
      <c r="Z56" s="636"/>
      <c r="AA56" s="636"/>
      <c r="AB56" s="636"/>
      <c r="AC56" s="636"/>
      <c r="AD56" s="220"/>
      <c r="AE56" s="658"/>
      <c r="AF56" s="659"/>
      <c r="AG56" s="177" t="s">
        <v>507</v>
      </c>
      <c r="AH56" s="636"/>
      <c r="AI56" s="636"/>
      <c r="AJ56" s="636"/>
      <c r="AK56" s="636"/>
      <c r="AL56" s="636"/>
      <c r="AM56" s="636"/>
      <c r="AN56" s="636"/>
      <c r="AO56" s="636"/>
      <c r="AP56" s="636"/>
      <c r="AQ56" s="636"/>
      <c r="AR56" s="636"/>
      <c r="AS56" s="636"/>
      <c r="AT56" s="636"/>
      <c r="AU56" s="637" t="str">
        <f>AX52&amp;"-"&amp;AZ52</f>
        <v>-</v>
      </c>
      <c r="AV56" s="636"/>
      <c r="AW56" s="637" t="str">
        <f>AZ52&amp;"-"&amp;BB52</f>
        <v>-</v>
      </c>
      <c r="AX56" s="636"/>
      <c r="AY56" s="636"/>
      <c r="AZ56" s="636"/>
      <c r="BA56" s="636"/>
      <c r="BB56" s="657" t="str">
        <f>BE52&amp;"-"&amp;BG52</f>
        <v>-</v>
      </c>
      <c r="BC56" s="528"/>
      <c r="BE56" s="129"/>
      <c r="BF56" s="129" t="str">
        <f t="shared" si="46"/>
        <v/>
      </c>
      <c r="BG56" s="129"/>
      <c r="BH56" s="129"/>
      <c r="BI56" s="50">
        <v>11</v>
      </c>
    </row>
    <row r="57" ht="11.5" customHeight="1">
      <c r="A57" s="493" t="s">
        <v>263</v>
      </c>
      <c r="B57" s="493" t="s">
        <v>264</v>
      </c>
      <c r="C57" s="493" t="s">
        <v>265</v>
      </c>
      <c r="D57" s="493" t="s">
        <v>546</v>
      </c>
      <c r="E57" s="505"/>
      <c r="F57" s="505"/>
      <c r="G57" s="505"/>
      <c r="H57" s="505"/>
      <c r="I57" s="517"/>
      <c r="J57" s="512"/>
      <c r="K57" s="493"/>
      <c r="L57" s="495"/>
      <c r="P57" s="132"/>
      <c r="Q57" s="132"/>
      <c r="R57" s="513"/>
      <c r="S57" s="529"/>
      <c r="T57" s="533" t="s">
        <v>467</v>
      </c>
      <c r="U57" s="214"/>
      <c r="V57" s="214"/>
      <c r="W57" s="214"/>
      <c r="X57" s="214"/>
      <c r="Y57" s="214"/>
      <c r="Z57" s="214"/>
      <c r="AA57" s="214"/>
      <c r="AB57" s="214"/>
      <c r="AC57" s="531"/>
      <c r="AD57" s="687"/>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31"/>
      <c r="BC57" s="532"/>
      <c r="BE57" s="129"/>
      <c r="BF57" s="129" t="str">
        <f t="shared" si="46"/>
        <v xml:space="preserve">Добавить строку</v>
      </c>
      <c r="BG57" s="129"/>
      <c r="BH57" s="129"/>
      <c r="BI57" s="50">
        <v>11</v>
      </c>
    </row>
    <row r="58" s="57" customFormat="1" ht="0" customHeight="1">
      <c r="A58" s="133" t="s">
        <v>263</v>
      </c>
      <c r="B58" s="133" t="s">
        <v>264</v>
      </c>
      <c r="C58" s="133" t="s">
        <v>265</v>
      </c>
      <c r="D58" s="133" t="s">
        <v>546</v>
      </c>
      <c r="E58" s="505"/>
      <c r="F58" s="505"/>
      <c r="G58" s="505"/>
      <c r="H58" s="505"/>
      <c r="I58" s="512"/>
      <c r="J58" s="133"/>
      <c r="K58" s="133"/>
      <c r="L58" s="212"/>
      <c r="M58" s="610"/>
      <c r="N58" s="610"/>
      <c r="O58" s="610"/>
      <c r="P58" s="132"/>
      <c r="Q58" s="132"/>
      <c r="R58" s="513"/>
      <c r="S58" s="606"/>
      <c r="T58" s="607"/>
      <c r="U58" s="608"/>
      <c r="V58" s="608"/>
      <c r="W58" s="608"/>
      <c r="X58" s="608"/>
      <c r="Y58" s="608"/>
      <c r="Z58" s="608"/>
      <c r="AA58" s="608"/>
      <c r="AB58" s="608"/>
      <c r="AC58" s="608"/>
      <c r="AD58" s="608"/>
      <c r="AE58" s="608"/>
      <c r="AF58" s="608"/>
      <c r="AG58" s="608"/>
      <c r="AH58" s="608"/>
      <c r="AI58" s="608"/>
      <c r="AJ58" s="608"/>
      <c r="AK58" s="608"/>
      <c r="AL58" s="608"/>
      <c r="AM58" s="608"/>
      <c r="AN58" s="608"/>
      <c r="AO58" s="608"/>
      <c r="AP58" s="608"/>
      <c r="AQ58" s="608"/>
      <c r="AR58" s="608"/>
      <c r="AS58" s="608"/>
      <c r="AT58" s="608"/>
      <c r="AU58" s="608"/>
      <c r="AV58" s="608"/>
      <c r="AW58" s="608"/>
      <c r="AX58" s="608"/>
      <c r="AY58" s="608"/>
      <c r="AZ58" s="608"/>
      <c r="BA58" s="608"/>
      <c r="BB58" s="608"/>
      <c r="BC58" s="609"/>
      <c r="BE58" s="129"/>
      <c r="BF58" s="129" t="str">
        <f t="shared" si="46"/>
        <v/>
      </c>
      <c r="BG58" s="129"/>
      <c r="BH58" s="129"/>
      <c r="BI58" s="57">
        <v>0</v>
      </c>
    </row>
    <row r="59" s="57" customFormat="1" ht="0" customHeight="1">
      <c r="A59" s="133" t="s">
        <v>263</v>
      </c>
      <c r="B59" s="133" t="s">
        <v>264</v>
      </c>
      <c r="C59" s="133" t="s">
        <v>265</v>
      </c>
      <c r="D59" s="133" t="s">
        <v>546</v>
      </c>
      <c r="E59" s="505"/>
      <c r="F59" s="505"/>
      <c r="G59" s="505"/>
      <c r="H59" s="494"/>
      <c r="I59" s="133"/>
      <c r="J59" s="133"/>
      <c r="K59" s="133"/>
      <c r="L59" s="212"/>
      <c r="M59" s="478"/>
      <c r="N59" s="478"/>
      <c r="O59" s="57"/>
      <c r="P59" s="167"/>
      <c r="Q59" s="538"/>
      <c r="R59" s="660"/>
      <c r="S59" s="606"/>
      <c r="T59" s="607"/>
      <c r="U59" s="608"/>
      <c r="V59" s="608"/>
      <c r="W59" s="608"/>
      <c r="X59" s="608"/>
      <c r="Y59" s="608"/>
      <c r="Z59" s="608"/>
      <c r="AA59" s="608"/>
      <c r="AB59" s="608"/>
      <c r="AC59" s="608"/>
      <c r="AD59" s="608"/>
      <c r="AE59" s="608"/>
      <c r="AF59" s="608"/>
      <c r="AG59" s="608"/>
      <c r="AH59" s="608"/>
      <c r="AI59" s="608"/>
      <c r="AJ59" s="608"/>
      <c r="AK59" s="608"/>
      <c r="AL59" s="608"/>
      <c r="AM59" s="608"/>
      <c r="AN59" s="608"/>
      <c r="AO59" s="608"/>
      <c r="AP59" s="608"/>
      <c r="AQ59" s="608"/>
      <c r="AR59" s="608"/>
      <c r="AS59" s="608"/>
      <c r="AT59" s="608"/>
      <c r="AU59" s="608"/>
      <c r="AV59" s="608"/>
      <c r="AW59" s="608"/>
      <c r="AX59" s="608"/>
      <c r="AY59" s="608"/>
      <c r="AZ59" s="608"/>
      <c r="BA59" s="608"/>
      <c r="BB59" s="608"/>
      <c r="BC59" s="609"/>
      <c r="BE59" s="129"/>
      <c r="BF59" s="129" t="str">
        <f t="shared" si="46"/>
        <v/>
      </c>
      <c r="BG59" s="129"/>
      <c r="BH59" s="129"/>
      <c r="BI59" s="57">
        <v>0</v>
      </c>
    </row>
    <row r="60" s="57" customFormat="1" ht="0" customHeight="1">
      <c r="A60" s="133" t="s">
        <v>263</v>
      </c>
      <c r="B60" s="133" t="s">
        <v>264</v>
      </c>
      <c r="C60" s="133" t="s">
        <v>265</v>
      </c>
      <c r="D60" s="133"/>
      <c r="E60" s="505"/>
      <c r="F60" s="505"/>
      <c r="G60" s="494"/>
      <c r="H60" s="133"/>
      <c r="I60" s="133"/>
      <c r="J60" s="133"/>
      <c r="K60" s="133"/>
      <c r="L60" s="212"/>
      <c r="M60" s="478"/>
      <c r="N60" s="478"/>
      <c r="P60" s="167"/>
      <c r="Q60" s="538"/>
      <c r="R60" s="167"/>
      <c r="S60" s="543"/>
      <c r="T60" s="546"/>
      <c r="U60" s="545"/>
      <c r="V60" s="545"/>
      <c r="W60" s="545"/>
      <c r="X60" s="545"/>
      <c r="Y60" s="545"/>
      <c r="Z60" s="545"/>
      <c r="AA60" s="545"/>
      <c r="AB60" s="545"/>
      <c r="AC60" s="545"/>
      <c r="AD60" s="545"/>
      <c r="AE60" s="545"/>
      <c r="AF60" s="545"/>
      <c r="AG60" s="545"/>
      <c r="AH60" s="545"/>
      <c r="AI60" s="545"/>
      <c r="AJ60" s="545"/>
      <c r="AK60" s="545"/>
      <c r="AL60" s="545"/>
      <c r="AM60" s="545"/>
      <c r="AN60" s="545"/>
      <c r="AO60" s="545"/>
      <c r="AP60" s="545"/>
      <c r="AQ60" s="545"/>
      <c r="AR60" s="545"/>
      <c r="AS60" s="545"/>
      <c r="AT60" s="545"/>
      <c r="AU60" s="545"/>
      <c r="AV60" s="545"/>
      <c r="AW60" s="545"/>
      <c r="AX60" s="545"/>
      <c r="AY60" s="545"/>
      <c r="AZ60" s="545"/>
      <c r="BA60" s="545"/>
      <c r="BB60" s="545"/>
      <c r="BC60" s="545"/>
      <c r="BE60" s="129"/>
      <c r="BF60" s="129" t="str">
        <f t="shared" si="46"/>
        <v/>
      </c>
      <c r="BG60" s="129"/>
      <c r="BH60" s="129"/>
      <c r="BI60" s="57">
        <v>0</v>
      </c>
    </row>
    <row r="61" s="57" customFormat="1" ht="0" customHeight="1">
      <c r="A61" s="133" t="s">
        <v>263</v>
      </c>
      <c r="B61" s="133" t="s">
        <v>264</v>
      </c>
      <c r="C61" s="133"/>
      <c r="D61" s="133"/>
      <c r="E61" s="505"/>
      <c r="F61" s="494"/>
      <c r="G61" s="133"/>
      <c r="H61" s="133"/>
      <c r="I61" s="133"/>
      <c r="J61" s="133"/>
      <c r="K61" s="133"/>
      <c r="L61" s="212"/>
      <c r="M61" s="542"/>
      <c r="N61" s="542"/>
      <c r="P61" s="167"/>
      <c r="Q61" s="538"/>
      <c r="R61" s="167"/>
      <c r="S61" s="543"/>
      <c r="T61" s="546" t="s">
        <v>238</v>
      </c>
      <c r="U61" s="545"/>
      <c r="V61" s="545"/>
      <c r="W61" s="545"/>
      <c r="X61" s="545"/>
      <c r="Y61" s="545"/>
      <c r="Z61" s="545"/>
      <c r="AA61" s="545"/>
      <c r="AB61" s="545"/>
      <c r="AC61" s="545"/>
      <c r="AD61" s="545"/>
      <c r="AE61" s="545"/>
      <c r="AF61" s="545"/>
      <c r="AG61" s="545"/>
      <c r="AH61" s="545"/>
      <c r="AI61" s="545"/>
      <c r="AJ61" s="545"/>
      <c r="AK61" s="545"/>
      <c r="AL61" s="545"/>
      <c r="AM61" s="545"/>
      <c r="AN61" s="545"/>
      <c r="AO61" s="545"/>
      <c r="AP61" s="545"/>
      <c r="AQ61" s="545"/>
      <c r="AR61" s="545"/>
      <c r="AS61" s="545"/>
      <c r="AT61" s="545"/>
      <c r="AU61" s="545"/>
      <c r="AV61" s="545"/>
      <c r="AW61" s="545"/>
      <c r="AX61" s="545"/>
      <c r="AY61" s="545"/>
      <c r="AZ61" s="545"/>
      <c r="BA61" s="545"/>
      <c r="BB61" s="545"/>
      <c r="BC61" s="545"/>
      <c r="BE61" s="129"/>
      <c r="BF61" s="129" t="str">
        <f t="shared" si="46"/>
        <v xml:space="preserve">Добавить централизованную систему для дифференциации</v>
      </c>
      <c r="BG61" s="129"/>
      <c r="BH61" s="129"/>
      <c r="BI61" s="57">
        <v>0</v>
      </c>
    </row>
    <row r="62" s="57" customFormat="1" ht="0" customHeight="1">
      <c r="A62" s="133" t="s">
        <v>263</v>
      </c>
      <c r="B62" s="133"/>
      <c r="C62" s="133"/>
      <c r="D62" s="133"/>
      <c r="E62" s="494"/>
      <c r="F62" s="133"/>
      <c r="G62" s="133"/>
      <c r="H62" s="133"/>
      <c r="I62" s="133"/>
      <c r="J62" s="133"/>
      <c r="K62" s="133"/>
      <c r="L62" s="212"/>
      <c r="M62" s="542"/>
      <c r="N62" s="542"/>
      <c r="O62" s="57"/>
      <c r="P62" s="167"/>
      <c r="Q62" s="538"/>
      <c r="R62" s="167"/>
      <c r="S62" s="543"/>
      <c r="T62" s="546" t="s">
        <v>239</v>
      </c>
      <c r="U62" s="545"/>
      <c r="V62" s="545"/>
      <c r="W62" s="545"/>
      <c r="X62" s="545"/>
      <c r="Y62" s="545"/>
      <c r="Z62" s="545"/>
      <c r="AA62" s="545"/>
      <c r="AB62" s="545"/>
      <c r="AC62" s="545"/>
      <c r="AD62" s="545"/>
      <c r="AE62" s="545"/>
      <c r="AF62" s="545"/>
      <c r="AG62" s="545"/>
      <c r="AH62" s="545"/>
      <c r="AI62" s="545"/>
      <c r="AJ62" s="545"/>
      <c r="AK62" s="545"/>
      <c r="AL62" s="545"/>
      <c r="AM62" s="545"/>
      <c r="AN62" s="545"/>
      <c r="AO62" s="545"/>
      <c r="AP62" s="545"/>
      <c r="AQ62" s="545"/>
      <c r="AR62" s="545"/>
      <c r="AS62" s="545"/>
      <c r="AT62" s="545"/>
      <c r="AU62" s="545"/>
      <c r="AV62" s="545"/>
      <c r="AW62" s="545"/>
      <c r="AX62" s="545"/>
      <c r="AY62" s="545"/>
      <c r="AZ62" s="545"/>
      <c r="BA62" s="545"/>
      <c r="BB62" s="545"/>
      <c r="BC62" s="545"/>
      <c r="BE62" s="129"/>
      <c r="BF62" s="129" t="str">
        <f t="shared" si="46"/>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42"/>
      <c r="N63" s="542"/>
      <c r="P63" s="167"/>
      <c r="Q63" s="538"/>
      <c r="R63" s="167"/>
      <c r="S63" s="543"/>
      <c r="T63" s="546" t="s">
        <v>240</v>
      </c>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545"/>
      <c r="AY63" s="545"/>
      <c r="AZ63" s="545"/>
      <c r="BA63" s="545"/>
      <c r="BB63" s="545"/>
      <c r="BC63" s="545"/>
      <c r="BE63" s="129"/>
      <c r="BF63" s="129" t="str">
        <f t="shared" si="46"/>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90"/>
      <c r="T65" s="588"/>
      <c r="U65" s="588"/>
      <c r="V65" s="588"/>
      <c r="W65" s="588"/>
      <c r="X65" s="588"/>
      <c r="Y65" s="588"/>
      <c r="Z65" s="588"/>
      <c r="AA65" s="588"/>
      <c r="AB65" s="588"/>
      <c r="AC65" s="588"/>
      <c r="AD65" s="588"/>
      <c r="AE65" s="588"/>
      <c r="AF65" s="588"/>
      <c r="AG65" s="588"/>
      <c r="AH65" s="588"/>
      <c r="AI65" s="588"/>
      <c r="AJ65" s="588"/>
      <c r="AK65" s="588"/>
      <c r="AL65" s="588"/>
      <c r="AM65" s="588"/>
      <c r="AN65" s="588"/>
      <c r="AO65" s="588"/>
      <c r="AP65" s="588"/>
      <c r="AQ65" s="588"/>
      <c r="AR65" s="588"/>
      <c r="AS65" s="588"/>
      <c r="AT65" s="588"/>
      <c r="AU65" s="588"/>
      <c r="AV65" s="588"/>
      <c r="AW65" s="588"/>
      <c r="AX65" s="588"/>
      <c r="AY65" s="588"/>
      <c r="AZ65" s="588"/>
      <c r="BA65" s="588"/>
      <c r="BB65" s="588"/>
      <c r="BC65" s="588"/>
      <c r="BI65" s="50">
        <v>19</v>
      </c>
    </row>
    <row r="66" ht="14.65" customHeight="1">
      <c r="O66" s="53"/>
      <c r="T66" s="588"/>
      <c r="U66" s="588"/>
      <c r="V66" s="588"/>
      <c r="W66" s="588"/>
      <c r="X66" s="588"/>
      <c r="Y66" s="588"/>
      <c r="Z66" s="588"/>
      <c r="AA66" s="588"/>
      <c r="AB66" s="588"/>
      <c r="AC66" s="588"/>
      <c r="AD66" s="588"/>
      <c r="AE66" s="588"/>
      <c r="AF66" s="588"/>
      <c r="AG66" s="588"/>
      <c r="AH66" s="588"/>
      <c r="AI66" s="588"/>
      <c r="AJ66" s="588"/>
      <c r="AK66" s="588"/>
      <c r="AL66" s="588"/>
      <c r="AM66" s="588"/>
      <c r="AN66" s="588"/>
      <c r="AO66" s="588"/>
      <c r="AP66" s="588"/>
      <c r="AQ66" s="588"/>
      <c r="AR66" s="588"/>
      <c r="AS66" s="588"/>
      <c r="AT66" s="588"/>
      <c r="AU66" s="588"/>
      <c r="AV66" s="588"/>
      <c r="AW66" s="588"/>
      <c r="AX66" s="588"/>
      <c r="AY66" s="588"/>
      <c r="AZ66" s="588"/>
      <c r="BA66" s="588"/>
      <c r="BB66" s="588"/>
      <c r="BC66" s="588"/>
      <c r="BI66" s="50">
        <v>14</v>
      </c>
    </row>
    <row r="67" ht="19.949999999999999" customHeight="1">
      <c r="O67" s="53"/>
      <c r="S67" s="490"/>
      <c r="T67" s="588"/>
      <c r="U67" s="588"/>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R67" s="588"/>
      <c r="AS67" s="588"/>
      <c r="AT67" s="588"/>
      <c r="AU67" s="588"/>
      <c r="AV67" s="588"/>
      <c r="AW67" s="588"/>
      <c r="AX67" s="588"/>
      <c r="AY67" s="588"/>
      <c r="AZ67" s="588"/>
      <c r="BA67" s="588"/>
      <c r="BB67" s="588"/>
      <c r="BC67" s="588"/>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2">
        <v>0</v>
      </c>
      <c r="R69" s="492">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780051-00C3-43F0-AE3B-00B700E400CA}"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6B008E-00CA-450D-804C-000C004D00B8}"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500046-0051-4EA8-9052-0098009500D6}"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85009A-00D6-4DBB-A3C2-008E003C003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CD0024-007F-4815-B367-002E005100B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62"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63"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45" t="s">
        <v>547</v>
      </c>
      <c r="D2" s="125"/>
      <c r="E2" s="764">
        <f>B2</f>
        <v>0</v>
      </c>
      <c r="F2" s="765"/>
      <c r="G2" s="157" t="s">
        <v>548</v>
      </c>
      <c r="H2" s="157" t="s">
        <v>548</v>
      </c>
      <c r="I2" s="157" t="s">
        <v>548</v>
      </c>
      <c r="J2" s="499" t="s">
        <v>549</v>
      </c>
      <c r="K2" s="766"/>
      <c r="AF2" s="50">
        <v>0</v>
      </c>
    </row>
    <row r="3" s="57" customFormat="1" ht="0.75" hidden="1" customHeight="1">
      <c r="B3" s="51"/>
      <c r="C3" s="545"/>
      <c r="D3" s="545"/>
      <c r="E3" s="767"/>
      <c r="F3" s="768" t="s">
        <v>550</v>
      </c>
      <c r="G3" s="158"/>
      <c r="H3" s="158">
        <f>H4*H5+H7</f>
        <v>0</v>
      </c>
      <c r="I3" s="158">
        <f>I4*I5+I6</f>
        <v>0</v>
      </c>
      <c r="J3" s="365"/>
      <c r="AF3" s="57">
        <v>0</v>
      </c>
    </row>
    <row r="4" ht="23.25" hidden="1" customHeight="1">
      <c r="B4" s="51"/>
      <c r="C4" s="545"/>
      <c r="D4" s="125"/>
      <c r="E4" s="764" t="str">
        <f>B2&amp;".1"</f>
        <v>.1</v>
      </c>
      <c r="F4" s="769" t="s">
        <v>551</v>
      </c>
      <c r="G4" s="770"/>
      <c r="H4" s="521"/>
      <c r="I4" s="521"/>
      <c r="J4" s="499" t="s">
        <v>552</v>
      </c>
      <c r="K4" s="766"/>
      <c r="AF4" s="50">
        <v>0</v>
      </c>
    </row>
    <row r="5" ht="18.75" hidden="1" customHeight="1">
      <c r="B5" s="51"/>
      <c r="C5" s="545"/>
      <c r="D5" s="125"/>
      <c r="E5" s="764" t="str">
        <f>B2&amp;".2"</f>
        <v>.2</v>
      </c>
      <c r="F5" s="769" t="s">
        <v>553</v>
      </c>
      <c r="G5" s="157" t="s">
        <v>554</v>
      </c>
      <c r="H5" s="521"/>
      <c r="I5" s="521"/>
      <c r="J5" s="499"/>
      <c r="K5" s="766"/>
      <c r="AF5" s="50">
        <v>0</v>
      </c>
    </row>
    <row r="6" ht="18.75" hidden="1" customHeight="1">
      <c r="B6" s="51"/>
      <c r="C6" s="545"/>
      <c r="D6" s="125"/>
      <c r="E6" s="764" t="str">
        <f>B2&amp;".3"</f>
        <v>.3</v>
      </c>
      <c r="F6" s="769" t="s">
        <v>555</v>
      </c>
      <c r="G6" s="157" t="s">
        <v>554</v>
      </c>
      <c r="H6" s="521"/>
      <c r="I6" s="521"/>
      <c r="J6" s="499"/>
      <c r="K6" s="766"/>
      <c r="AF6" s="50">
        <v>0</v>
      </c>
    </row>
    <row r="7" ht="18.75" hidden="1" customHeight="1">
      <c r="B7" s="51"/>
      <c r="C7" s="545"/>
      <c r="D7" s="125"/>
      <c r="E7" s="764" t="str">
        <f>B2&amp;".4"</f>
        <v>.4</v>
      </c>
      <c r="F7" s="769" t="s">
        <v>556</v>
      </c>
      <c r="G7" s="157" t="s">
        <v>548</v>
      </c>
      <c r="H7" s="771"/>
      <c r="I7" s="771"/>
      <c r="J7" s="499"/>
      <c r="K7" s="766"/>
      <c r="AF7" s="50">
        <v>0</v>
      </c>
    </row>
    <row r="8" s="53" customFormat="1" ht="11.25" hidden="1" customHeight="1">
      <c r="A8" s="762"/>
      <c r="C8" s="57"/>
      <c r="D8" s="53"/>
      <c r="H8" s="53">
        <v>4</v>
      </c>
      <c r="I8" s="53">
        <v>4</v>
      </c>
      <c r="L8" s="57"/>
      <c r="M8" s="57"/>
      <c r="R8" s="57"/>
      <c r="AF8" s="53">
        <v>0</v>
      </c>
    </row>
    <row r="9" s="53" customFormat="1" ht="22.5" hidden="1" customHeight="1">
      <c r="A9" s="762"/>
      <c r="C9" s="57"/>
      <c r="D9" s="772"/>
      <c r="E9" s="157"/>
      <c r="F9" s="159"/>
      <c r="G9" s="157" t="s">
        <v>554</v>
      </c>
      <c r="H9" s="521"/>
      <c r="I9" s="521"/>
      <c r="J9" s="773" t="s">
        <v>557</v>
      </c>
      <c r="K9" s="766"/>
      <c r="L9" s="57"/>
      <c r="M9" s="57"/>
      <c r="R9" s="57"/>
      <c r="U9" s="763"/>
      <c r="AA9" s="56"/>
      <c r="AB9" s="56"/>
      <c r="AC9" s="56"/>
      <c r="AD9" s="56"/>
      <c r="AE9" s="56"/>
      <c r="AF9" s="53">
        <v>0</v>
      </c>
    </row>
    <row r="10" ht="11.25" hidden="1" customHeight="1">
      <c r="AF10" s="50">
        <v>0</v>
      </c>
    </row>
    <row r="11" ht="18.75" hidden="1" customHeight="1">
      <c r="D11" s="125"/>
      <c r="E11" s="764"/>
      <c r="F11" s="159"/>
      <c r="G11" s="157" t="s">
        <v>558</v>
      </c>
      <c r="H11" s="521"/>
      <c r="I11" s="521"/>
      <c r="J11" s="499" t="s">
        <v>559</v>
      </c>
      <c r="K11" s="766"/>
      <c r="AF11" s="50">
        <v>0</v>
      </c>
    </row>
    <row r="12" ht="11.25" hidden="1" customHeight="1">
      <c r="AF12" s="50">
        <v>0</v>
      </c>
    </row>
    <row r="13" ht="22.5" hidden="1" customHeight="1">
      <c r="D13" s="125"/>
      <c r="E13" s="764"/>
      <c r="F13" s="159"/>
      <c r="G13" s="72" t="s">
        <v>560</v>
      </c>
      <c r="H13" s="774"/>
      <c r="I13" s="774"/>
      <c r="J13" s="775" t="s">
        <v>561</v>
      </c>
      <c r="K13" s="766"/>
      <c r="AF13" s="50">
        <v>0</v>
      </c>
    </row>
    <row r="14" ht="11.25" hidden="1" customHeight="1">
      <c r="AF14" s="50">
        <v>0</v>
      </c>
    </row>
    <row r="15" ht="22.5" hidden="1" customHeight="1">
      <c r="D15" s="125"/>
      <c r="E15" s="764"/>
      <c r="F15" s="159"/>
      <c r="G15" s="157" t="s">
        <v>562</v>
      </c>
      <c r="H15" s="774"/>
      <c r="I15" s="774"/>
      <c r="J15" s="499" t="s">
        <v>563</v>
      </c>
      <c r="K15" s="766"/>
      <c r="AF15" s="50">
        <v>0</v>
      </c>
    </row>
    <row r="16" ht="11.25" hidden="1" customHeight="1">
      <c r="AF16" s="50">
        <v>0</v>
      </c>
    </row>
    <row r="17" ht="22.5" hidden="1" customHeight="1">
      <c r="D17" s="125"/>
      <c r="E17" s="764"/>
      <c r="F17" s="159"/>
      <c r="G17" s="157" t="s">
        <v>564</v>
      </c>
      <c r="H17" s="774"/>
      <c r="I17" s="774"/>
      <c r="J17" s="499" t="s">
        <v>565</v>
      </c>
      <c r="K17" s="766"/>
      <c r="AF17" s="50">
        <v>0</v>
      </c>
    </row>
    <row r="18" ht="11.25" hidden="1" customHeight="1">
      <c r="AF18" s="50">
        <v>0</v>
      </c>
    </row>
    <row r="19" s="56" customFormat="1" ht="11.25" hidden="1" customHeight="1">
      <c r="A19" s="762"/>
      <c r="B19" s="53"/>
      <c r="C19" s="57"/>
      <c r="D19" s="56"/>
      <c r="J19" s="56">
        <v>4</v>
      </c>
      <c r="K19" s="53"/>
      <c r="L19" s="57"/>
      <c r="M19" s="57"/>
      <c r="N19" s="53"/>
      <c r="O19" s="53"/>
      <c r="P19" s="53"/>
      <c r="Q19" s="53"/>
      <c r="R19" s="57"/>
      <c r="S19" s="53"/>
      <c r="T19" s="53"/>
      <c r="U19" s="763"/>
      <c r="V19" s="53"/>
      <c r="W19" s="53"/>
      <c r="X19" s="53"/>
      <c r="Y19" s="53"/>
      <c r="Z19" s="53"/>
      <c r="AF19" s="56">
        <v>0</v>
      </c>
    </row>
    <row r="20" ht="11.5" customHeight="1">
      <c r="AF20" s="50">
        <v>11</v>
      </c>
    </row>
    <row r="21" ht="25.199999999999999" customHeight="1">
      <c r="E21" s="466" t="str">
        <f>FHD_NAME_FORM</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466"/>
      <c r="G21" s="466"/>
      <c r="H21" s="466"/>
      <c r="I21" s="466"/>
      <c r="J21" s="240"/>
      <c r="AF21" s="50">
        <v>24</v>
      </c>
    </row>
    <row r="22" ht="25.199999999999999" customHeight="1">
      <c r="E22" s="320" t="str">
        <f>IF(org=0,"Не определено",org)</f>
        <v xml:space="preserve">филиал Пермская ГРЭС АО "Интер РАО - Электрогенерация"</v>
      </c>
      <c r="F22" s="320"/>
      <c r="G22" s="320"/>
      <c r="H22" s="320"/>
      <c r="I22" s="320"/>
      <c r="AF22" s="50">
        <v>24</v>
      </c>
    </row>
    <row r="23" ht="11.5" customHeight="1">
      <c r="E23" s="776"/>
      <c r="F23" s="776"/>
      <c r="G23" s="776"/>
      <c r="H23" s="776"/>
      <c r="I23" s="776"/>
      <c r="AF23" s="50">
        <v>11</v>
      </c>
    </row>
    <row r="24" s="57" customFormat="1" ht="1.05" customHeight="1">
      <c r="A24" s="545"/>
      <c r="D24" s="57"/>
      <c r="H24" s="777"/>
      <c r="I24" s="777" t="s">
        <v>117</v>
      </c>
      <c r="AF24" s="57">
        <v>1</v>
      </c>
    </row>
    <row r="25" ht="11.5" customHeight="1">
      <c r="E25" s="778"/>
      <c r="F25" s="779" t="s">
        <v>105</v>
      </c>
      <c r="G25" s="780"/>
      <c r="H25" s="781" t="str">
        <f>IF(H24="","",INDEX(DIFFERENTIATION_UNMERGE_VD,MATCH(H24,DIFFERENTIATION_ID_DIFF,0)))</f>
        <v/>
      </c>
      <c r="I25" s="781">
        <f>IF(I24="","",INDEX(DIFFERENTIATION_UNMERGE_VD,MATCH(I24,DIFFERENTIATION_ID_DIFF,0)))</f>
        <v>0</v>
      </c>
      <c r="J25" s="157"/>
      <c r="AF25" s="50">
        <v>11</v>
      </c>
    </row>
    <row r="26" ht="11.5" customHeight="1">
      <c r="E26" s="778"/>
      <c r="F26" s="779" t="s">
        <v>566</v>
      </c>
      <c r="G26" s="780"/>
      <c r="H26" s="781" t="str">
        <f>IF(H24="","",INDEX(DIFFERENTIATION_UNMERGE_AREA,MATCH(H24,DIFFERENTIATION_ID_DIFF,0)))</f>
        <v/>
      </c>
      <c r="I26" s="781" t="str">
        <f>IF(I24="","",INDEX(DIFFERENTIATION_UNMERGE_AREA,MATCH(I24,DIFFERENTIATION_ID_DIFF,0)))</f>
        <v/>
      </c>
      <c r="J26" s="157"/>
      <c r="AF26" s="50">
        <v>11</v>
      </c>
    </row>
    <row r="27" ht="11.5" customHeight="1">
      <c r="E27" s="778"/>
      <c r="F27" s="779" t="s">
        <v>567</v>
      </c>
      <c r="G27" s="780"/>
      <c r="H27" s="781" t="str">
        <f>IF(H24="","",INDEX(DIFFERENTIATION_UNMERGE_SYSTEM,MATCH(H24,DIFFERENTIATION_ID_DIFF,0)))</f>
        <v/>
      </c>
      <c r="I27" s="781" t="str">
        <f>IF(I24="","",INDEX(DIFFERENTIATION_UNMERGE_SYSTEM,MATCH(I24,DIFFERENTIATION_ID_DIFF,0)))</f>
        <v xml:space="preserve">без дифференциации</v>
      </c>
      <c r="J27" s="157"/>
      <c r="AF27" s="50">
        <v>11</v>
      </c>
    </row>
    <row r="28" ht="11.5" customHeight="1">
      <c r="E28" s="782" t="s">
        <v>302</v>
      </c>
      <c r="F28" s="783"/>
      <c r="G28" s="783"/>
      <c r="H28" s="779"/>
      <c r="I28" s="779"/>
      <c r="J28" s="157"/>
      <c r="AF28" s="50">
        <v>11</v>
      </c>
    </row>
    <row r="29" ht="24" customHeight="1">
      <c r="E29" s="157" t="s">
        <v>88</v>
      </c>
      <c r="F29" s="157" t="s">
        <v>304</v>
      </c>
      <c r="G29" s="157" t="s">
        <v>568</v>
      </c>
      <c r="H29" s="157" t="s">
        <v>305</v>
      </c>
      <c r="I29" s="157" t="s">
        <v>305</v>
      </c>
      <c r="J29" s="157"/>
      <c r="AF29" s="50">
        <v>23</v>
      </c>
    </row>
    <row r="30" ht="19.949999999999999" customHeight="1">
      <c r="D30" s="125"/>
      <c r="E30" s="764">
        <f>FHD_NUM_P_1</f>
        <v>1</v>
      </c>
      <c r="F30" s="330" t="str">
        <f>FHD_P_1</f>
        <v xml:space="preserve">Выручка от регулируемых видов деятельности в сфере холодного водоснабжения</v>
      </c>
      <c r="G30" s="157" t="s">
        <v>554</v>
      </c>
      <c r="H30" s="784"/>
      <c r="I30" s="784"/>
      <c r="J30" s="499" t="str">
        <f>FHD_NOTE_P_1</f>
        <v xml:space="preserve">Указывается выручка с распределением по видам деятельности.</v>
      </c>
      <c r="K30" s="766"/>
      <c r="AF30" s="50">
        <v>19</v>
      </c>
    </row>
    <row r="31" ht="11.5" customHeight="1">
      <c r="D31" s="125"/>
      <c r="E31" s="764">
        <f>FHD_NUM_P_2</f>
        <v>2</v>
      </c>
      <c r="F31" s="330" t="str">
        <f>FHD_P_2</f>
        <v xml:space="preserve">Себестоимость производимых товаров (оказываемых услуг) по регулируемым видам деятельности в сфере холодного водоснабжения, включая:</v>
      </c>
      <c r="G31" s="157" t="s">
        <v>554</v>
      </c>
      <c r="H31" s="785">
        <f>SUMIF($K33:$K71,$K31,H33:H71)</f>
        <v>0</v>
      </c>
      <c r="I31" s="785">
        <f>SUMIF($K33:$K71,$K31,I33:I71)</f>
        <v>0</v>
      </c>
      <c r="J31" s="499" t="str">
        <f>FHD_NOTE_P_2</f>
        <v xml:space="preserve">Указывается суммарная себестоимость производимых товаров.</v>
      </c>
      <c r="K31" s="57" t="s">
        <v>569</v>
      </c>
      <c r="AF31" s="50">
        <v>11</v>
      </c>
    </row>
    <row r="32" ht="11.5" customHeight="1">
      <c r="D32" s="125"/>
      <c r="E32" s="764" t="str">
        <f>FHD_NUM_P_3</f>
        <v>2.1</v>
      </c>
      <c r="F32" s="686" t="str">
        <f>FHD_P_3</f>
        <v xml:space="preserve">Расходы на оплату холодной воды, приобретаемой у других организаций для последующей подачи потребителям</v>
      </c>
      <c r="G32" s="157" t="s">
        <v>554</v>
      </c>
      <c r="H32" s="784"/>
      <c r="I32" s="784"/>
      <c r="J32" s="499" t="str">
        <f>FHD_NOTE_P_3</f>
        <v/>
      </c>
      <c r="K32" s="57" t="str">
        <f t="shared" ref="K32:K70" si="47">IF((LEN(E32)-LEN(SUBSTITUTE(E32,".","")))/LEN(".")=1,"p","")</f>
        <v>p</v>
      </c>
      <c r="AF32" s="50">
        <v>11</v>
      </c>
    </row>
    <row r="33" ht="11.25" hidden="1" customHeight="1">
      <c r="A33" s="786" t="s">
        <v>570</v>
      </c>
      <c r="D33" s="125"/>
      <c r="E33" s="764" t="str">
        <f>FHD_NUM_P_4</f>
        <v/>
      </c>
      <c r="F33" s="686" t="str">
        <f>FHD_P_4</f>
        <v/>
      </c>
      <c r="G33" s="157" t="s">
        <v>554</v>
      </c>
      <c r="H33" s="785">
        <f>SUMIF($F34:$F40,$F3,H34:H40)</f>
        <v>0</v>
      </c>
      <c r="I33" s="785">
        <f>SUMIF($F34:$F40,$F3,I34:I40)</f>
        <v>0</v>
      </c>
      <c r="J33" s="499" t="str">
        <f>FHD_NOTE_P_4</f>
        <v/>
      </c>
      <c r="K33" s="57" t="str">
        <f t="shared" si="47"/>
        <v/>
      </c>
      <c r="AF33" s="50">
        <v>0</v>
      </c>
    </row>
    <row r="34" s="131" customFormat="1" ht="0.75" hidden="1" customHeight="1">
      <c r="A34" s="786"/>
      <c r="B34" s="787" t="str">
        <f>E33&amp;".0"</f>
        <v>.0</v>
      </c>
      <c r="C34" s="545"/>
      <c r="D34" s="788"/>
      <c r="E34" s="789"/>
      <c r="F34" s="790"/>
      <c r="G34" s="791"/>
      <c r="H34" s="442"/>
      <c r="I34" s="442"/>
      <c r="J34" s="792"/>
      <c r="K34" s="57" t="str">
        <f t="shared" si="47"/>
        <v/>
      </c>
      <c r="L34" s="57"/>
      <c r="M34" s="57"/>
      <c r="N34" s="57"/>
      <c r="O34" s="57"/>
      <c r="P34" s="57"/>
      <c r="Q34" s="57"/>
      <c r="R34" s="57"/>
      <c r="S34" s="57"/>
      <c r="T34" s="57"/>
      <c r="U34" s="793"/>
      <c r="V34" s="57"/>
      <c r="W34" s="57"/>
      <c r="X34" s="57"/>
      <c r="Y34" s="57"/>
      <c r="Z34" s="57"/>
      <c r="AA34" s="54"/>
      <c r="AB34" s="54"/>
      <c r="AC34" s="54"/>
      <c r="AD34" s="54"/>
      <c r="AE34" s="54"/>
      <c r="AF34" s="131">
        <v>0</v>
      </c>
    </row>
    <row r="35" s="131" customFormat="1" ht="0.75" hidden="1" customHeight="1">
      <c r="A35" s="786"/>
      <c r="B35" s="787"/>
      <c r="C35" s="545"/>
      <c r="D35" s="788"/>
      <c r="E35" s="794"/>
      <c r="F35" s="795"/>
      <c r="G35" s="791"/>
      <c r="H35" s="796"/>
      <c r="I35" s="796"/>
      <c r="J35" s="792"/>
      <c r="K35" s="57" t="str">
        <f t="shared" si="47"/>
        <v/>
      </c>
      <c r="L35" s="57"/>
      <c r="M35" s="57"/>
      <c r="N35" s="57"/>
      <c r="O35" s="57"/>
      <c r="P35" s="57"/>
      <c r="Q35" s="57"/>
      <c r="R35" s="57"/>
      <c r="S35" s="57"/>
      <c r="T35" s="57"/>
      <c r="U35" s="793"/>
      <c r="V35" s="57"/>
      <c r="W35" s="57"/>
      <c r="X35" s="57"/>
      <c r="Y35" s="57"/>
      <c r="Z35" s="57"/>
      <c r="AA35" s="54"/>
      <c r="AB35" s="54"/>
      <c r="AC35" s="54"/>
      <c r="AD35" s="54"/>
      <c r="AE35" s="54"/>
      <c r="AF35" s="131">
        <v>0</v>
      </c>
    </row>
    <row r="36" s="131" customFormat="1" ht="0.75" hidden="1" customHeight="1">
      <c r="A36" s="786"/>
      <c r="B36" s="787"/>
      <c r="C36" s="545"/>
      <c r="D36" s="788"/>
      <c r="E36" s="794"/>
      <c r="F36" s="795"/>
      <c r="G36" s="791"/>
      <c r="H36" s="796"/>
      <c r="I36" s="796"/>
      <c r="J36" s="792"/>
      <c r="K36" s="57" t="str">
        <f t="shared" si="47"/>
        <v/>
      </c>
      <c r="L36" s="57"/>
      <c r="M36" s="57"/>
      <c r="N36" s="57"/>
      <c r="O36" s="57"/>
      <c r="P36" s="57"/>
      <c r="Q36" s="57"/>
      <c r="R36" s="57"/>
      <c r="S36" s="57"/>
      <c r="T36" s="57"/>
      <c r="U36" s="793"/>
      <c r="V36" s="57"/>
      <c r="W36" s="57"/>
      <c r="X36" s="57"/>
      <c r="Y36" s="57"/>
      <c r="Z36" s="57"/>
      <c r="AA36" s="54"/>
      <c r="AB36" s="54"/>
      <c r="AC36" s="54"/>
      <c r="AD36" s="54"/>
      <c r="AE36" s="54"/>
      <c r="AF36" s="131">
        <v>0</v>
      </c>
    </row>
    <row r="37" s="131" customFormat="1" ht="0.75" hidden="1" customHeight="1">
      <c r="A37" s="786"/>
      <c r="B37" s="787"/>
      <c r="C37" s="545"/>
      <c r="D37" s="788"/>
      <c r="E37" s="794"/>
      <c r="F37" s="795"/>
      <c r="G37" s="791"/>
      <c r="H37" s="796"/>
      <c r="I37" s="796"/>
      <c r="J37" s="792"/>
      <c r="K37" s="57" t="str">
        <f t="shared" si="47"/>
        <v/>
      </c>
      <c r="L37" s="57"/>
      <c r="M37" s="57"/>
      <c r="N37" s="57"/>
      <c r="O37" s="57"/>
      <c r="P37" s="57"/>
      <c r="Q37" s="57"/>
      <c r="R37" s="57"/>
      <c r="S37" s="57"/>
      <c r="T37" s="57"/>
      <c r="U37" s="793"/>
      <c r="V37" s="57"/>
      <c r="W37" s="57"/>
      <c r="X37" s="57"/>
      <c r="Y37" s="57"/>
      <c r="Z37" s="57"/>
      <c r="AA37" s="54"/>
      <c r="AB37" s="54"/>
      <c r="AC37" s="54"/>
      <c r="AD37" s="54"/>
      <c r="AE37" s="54"/>
      <c r="AF37" s="131">
        <v>0</v>
      </c>
    </row>
    <row r="38" s="131" customFormat="1" ht="0.75" hidden="1" customHeight="1">
      <c r="A38" s="786"/>
      <c r="B38" s="787"/>
      <c r="C38" s="545"/>
      <c r="D38" s="788"/>
      <c r="E38" s="794"/>
      <c r="F38" s="795"/>
      <c r="G38" s="791"/>
      <c r="H38" s="796"/>
      <c r="I38" s="796"/>
      <c r="J38" s="792"/>
      <c r="K38" s="57" t="str">
        <f t="shared" si="47"/>
        <v/>
      </c>
      <c r="L38" s="57"/>
      <c r="M38" s="57"/>
      <c r="N38" s="57"/>
      <c r="O38" s="57"/>
      <c r="P38" s="57"/>
      <c r="Q38" s="57"/>
      <c r="R38" s="57"/>
      <c r="S38" s="57"/>
      <c r="T38" s="57"/>
      <c r="U38" s="793"/>
      <c r="V38" s="57"/>
      <c r="W38" s="57"/>
      <c r="X38" s="57"/>
      <c r="Y38" s="57"/>
      <c r="Z38" s="57"/>
      <c r="AA38" s="54"/>
      <c r="AB38" s="54"/>
      <c r="AC38" s="54"/>
      <c r="AD38" s="54"/>
      <c r="AE38" s="54"/>
      <c r="AF38" s="131">
        <v>0</v>
      </c>
    </row>
    <row r="39" s="131" customFormat="1" ht="0.75" hidden="1" customHeight="1">
      <c r="A39" s="786"/>
      <c r="B39" s="787"/>
      <c r="C39" s="545"/>
      <c r="D39" s="788"/>
      <c r="E39" s="794"/>
      <c r="F39" s="795"/>
      <c r="G39" s="791"/>
      <c r="H39" s="442"/>
      <c r="I39" s="442"/>
      <c r="J39" s="792"/>
      <c r="K39" s="57" t="str">
        <f t="shared" si="47"/>
        <v/>
      </c>
      <c r="L39" s="57"/>
      <c r="M39" s="57"/>
      <c r="N39" s="57"/>
      <c r="O39" s="57"/>
      <c r="P39" s="57"/>
      <c r="Q39" s="57"/>
      <c r="R39" s="57"/>
      <c r="S39" s="57"/>
      <c r="T39" s="57"/>
      <c r="U39" s="793"/>
      <c r="V39" s="57"/>
      <c r="W39" s="57"/>
      <c r="X39" s="57"/>
      <c r="Y39" s="57"/>
      <c r="Z39" s="57"/>
      <c r="AA39" s="54"/>
      <c r="AB39" s="54"/>
      <c r="AC39" s="54"/>
      <c r="AD39" s="54"/>
      <c r="AE39" s="54"/>
      <c r="AF39" s="131">
        <v>0</v>
      </c>
    </row>
    <row r="40" s="53" customFormat="1" ht="15" hidden="1" customHeight="1">
      <c r="A40" s="786"/>
      <c r="C40" s="57"/>
      <c r="D40" s="128"/>
      <c r="E40" s="797"/>
      <c r="F40" s="235" t="s">
        <v>571</v>
      </c>
      <c r="G40" s="798"/>
      <c r="H40" s="799"/>
      <c r="I40" s="799"/>
      <c r="J40" s="563"/>
      <c r="K40" s="57" t="str">
        <f t="shared" si="47"/>
        <v/>
      </c>
      <c r="L40" s="57"/>
      <c r="M40" s="57"/>
      <c r="R40" s="57"/>
      <c r="U40" s="763"/>
      <c r="AA40" s="56"/>
      <c r="AB40" s="56"/>
      <c r="AC40" s="56"/>
      <c r="AD40" s="56"/>
      <c r="AE40" s="56"/>
      <c r="AF40" s="53">
        <v>0</v>
      </c>
    </row>
    <row r="41" ht="11.25" hidden="1" customHeight="1">
      <c r="A41" s="786" t="s">
        <v>572</v>
      </c>
      <c r="D41" s="125"/>
      <c r="E41" s="764" t="str">
        <f>FHD_NUM_P_5</f>
        <v/>
      </c>
      <c r="F41" s="686" t="str">
        <f>FHD_P_5</f>
        <v/>
      </c>
      <c r="G41" s="157" t="s">
        <v>554</v>
      </c>
      <c r="H41" s="784"/>
      <c r="I41" s="784"/>
      <c r="J41" s="499" t="str">
        <f>FHD_NOTE_P_5</f>
        <v/>
      </c>
      <c r="K41" s="57" t="str">
        <f t="shared" si="47"/>
        <v/>
      </c>
      <c r="AF41" s="50">
        <v>0</v>
      </c>
    </row>
    <row r="42" ht="11.25" hidden="1" customHeight="1">
      <c r="A42" s="786"/>
      <c r="D42" s="125"/>
      <c r="E42" s="764" t="str">
        <f>FHD_NUM_P_6</f>
        <v/>
      </c>
      <c r="F42" s="686" t="str">
        <f>FHD_P_6</f>
        <v/>
      </c>
      <c r="G42" s="157" t="s">
        <v>554</v>
      </c>
      <c r="H42" s="784"/>
      <c r="I42" s="784"/>
      <c r="J42" s="499" t="str">
        <f>FHD_NOTE_P_6</f>
        <v/>
      </c>
      <c r="K42" s="57" t="str">
        <f t="shared" si="47"/>
        <v/>
      </c>
      <c r="AF42" s="50">
        <v>0</v>
      </c>
    </row>
    <row r="43" ht="11.25" hidden="1" customHeight="1">
      <c r="A43" s="786"/>
      <c r="D43" s="125"/>
      <c r="E43" s="764" t="str">
        <f>FHD_NUM_P_7</f>
        <v/>
      </c>
      <c r="F43" s="686" t="str">
        <f>FHD_P_7</f>
        <v/>
      </c>
      <c r="G43" s="157" t="s">
        <v>554</v>
      </c>
      <c r="H43" s="784"/>
      <c r="I43" s="784"/>
      <c r="J43" s="499" t="str">
        <f>FHD_NOTE_P_7</f>
        <v/>
      </c>
      <c r="K43" s="57" t="str">
        <f t="shared" si="47"/>
        <v/>
      </c>
      <c r="AF43" s="50">
        <v>0</v>
      </c>
    </row>
    <row r="44" ht="11.5" customHeight="1">
      <c r="D44" s="125"/>
      <c r="E44" s="764" t="str">
        <f>FHD_NUM_P_8</f>
        <v>2.2</v>
      </c>
      <c r="F44" s="686" t="str">
        <f>FHD_P_8</f>
        <v xml:space="preserve">Расходы на приобретаемую электрическую энергию (мощность), используемую в технологическом процессе</v>
      </c>
      <c r="G44" s="157" t="s">
        <v>554</v>
      </c>
      <c r="H44" s="784"/>
      <c r="I44" s="784"/>
      <c r="J44" s="499" t="str">
        <f>FHD_NOTE_P_8</f>
        <v/>
      </c>
      <c r="K44" s="57" t="str">
        <f t="shared" si="47"/>
        <v>p</v>
      </c>
      <c r="AF44" s="50">
        <v>11</v>
      </c>
    </row>
    <row r="45" ht="11.5" customHeight="1">
      <c r="D45" s="125"/>
      <c r="E45" s="764" t="str">
        <f>FHD_NUM_P_9</f>
        <v>2.2.1</v>
      </c>
      <c r="F45" s="800" t="str">
        <f>FHD_P_9</f>
        <v xml:space="preserve">Средневзвешенная стоимость 1 кВт.ч (с учетом мощности)</v>
      </c>
      <c r="G45" s="157" t="s">
        <v>573</v>
      </c>
      <c r="H45" s="784"/>
      <c r="I45" s="784"/>
      <c r="J45" s="499" t="str">
        <f>FHD_NOTE_P_9</f>
        <v/>
      </c>
      <c r="K45" s="57" t="str">
        <f t="shared" si="47"/>
        <v/>
      </c>
      <c r="AF45" s="50">
        <v>11</v>
      </c>
    </row>
    <row r="46" s="53" customFormat="1" ht="11.5" customHeight="1">
      <c r="A46" s="762"/>
      <c r="C46" s="57"/>
      <c r="D46" s="801"/>
      <c r="E46" s="764" t="str">
        <f>FHD_NUM_P_10</f>
        <v>2.2.2</v>
      </c>
      <c r="F46" s="800" t="str">
        <f>FHD_P_10</f>
        <v xml:space="preserve">Объём приобретения электрической энергии</v>
      </c>
      <c r="G46" s="157" t="s">
        <v>574</v>
      </c>
      <c r="H46" s="784"/>
      <c r="I46" s="784"/>
      <c r="J46" s="499" t="str">
        <f>FHD_NOTE_P_10</f>
        <v/>
      </c>
      <c r="K46" s="57" t="str">
        <f t="shared" si="47"/>
        <v/>
      </c>
      <c r="L46" s="57"/>
      <c r="M46" s="57"/>
      <c r="R46" s="57"/>
      <c r="U46" s="763"/>
      <c r="AA46" s="56"/>
      <c r="AB46" s="56"/>
      <c r="AC46" s="56"/>
      <c r="AD46" s="56"/>
      <c r="AE46" s="56"/>
      <c r="AF46" s="53">
        <v>11</v>
      </c>
    </row>
    <row r="47" s="53" customFormat="1" ht="11.25" hidden="1" customHeight="1">
      <c r="A47" s="802" t="s">
        <v>575</v>
      </c>
      <c r="C47" s="57"/>
      <c r="D47" s="803"/>
      <c r="E47" s="764" t="str">
        <f>FHD_NUM_P_11</f>
        <v/>
      </c>
      <c r="F47" s="686" t="str">
        <f>FHD_P_11</f>
        <v/>
      </c>
      <c r="G47" s="157" t="s">
        <v>554</v>
      </c>
      <c r="H47" s="784"/>
      <c r="I47" s="784"/>
      <c r="J47" s="499" t="str">
        <f>FHD_NOTE_P_11</f>
        <v/>
      </c>
      <c r="K47" s="57" t="str">
        <f t="shared" si="47"/>
        <v/>
      </c>
      <c r="L47" s="57"/>
      <c r="M47" s="57"/>
      <c r="R47" s="57"/>
      <c r="U47" s="763"/>
      <c r="AA47" s="56"/>
      <c r="AB47" s="56"/>
      <c r="AC47" s="56"/>
      <c r="AD47" s="56"/>
      <c r="AE47" s="56"/>
      <c r="AF47" s="53">
        <v>0</v>
      </c>
    </row>
    <row r="48" s="53" customFormat="1" ht="18.75" customHeight="1">
      <c r="A48" s="802" t="s">
        <v>576</v>
      </c>
      <c r="C48" s="57"/>
      <c r="D48" s="125"/>
      <c r="E48" s="764" t="str">
        <f>FHD_NUM_P_12</f>
        <v>2.3</v>
      </c>
      <c r="F48" s="686" t="str">
        <f>FHD_P_12</f>
        <v xml:space="preserve">Расходы на химические реагенты, используемые в технологическом процессе</v>
      </c>
      <c r="G48" s="157" t="s">
        <v>554</v>
      </c>
      <c r="H48" s="804"/>
      <c r="I48" s="804"/>
      <c r="J48" s="499" t="str">
        <f>FHD_NOTE_P_12</f>
        <v/>
      </c>
      <c r="K48" s="57" t="str">
        <f t="shared" si="47"/>
        <v>p</v>
      </c>
      <c r="L48" s="57"/>
      <c r="M48" s="57"/>
      <c r="R48" s="57"/>
      <c r="U48" s="763"/>
      <c r="AA48" s="56"/>
      <c r="AB48" s="56"/>
      <c r="AC48" s="56"/>
      <c r="AD48" s="56"/>
      <c r="AE48" s="56"/>
      <c r="AF48" s="53">
        <v>18</v>
      </c>
    </row>
    <row r="49" s="496" customFormat="1" ht="11.5" customHeight="1">
      <c r="A49" s="805"/>
      <c r="C49" s="478"/>
      <c r="D49" s="268"/>
      <c r="E49" s="764" t="str">
        <f>FHD_NUM_P_13</f>
        <v>2.4</v>
      </c>
      <c r="F49" s="686"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 t="s">
        <v>554</v>
      </c>
      <c r="H49" s="784"/>
      <c r="I49" s="784"/>
      <c r="J49" s="499" t="str">
        <f>FHD_NOTE_P_13</f>
        <v xml:space="preserve">Указывается общая сумма расходов на оплату труда и отчислений на социальные нужды основного производственного персонала.</v>
      </c>
      <c r="K49" s="57" t="str">
        <f t="shared" si="47"/>
        <v>p</v>
      </c>
      <c r="L49" s="478"/>
      <c r="M49" s="478"/>
      <c r="R49" s="478"/>
      <c r="U49" s="806"/>
      <c r="AA49" s="48"/>
      <c r="AB49" s="48"/>
      <c r="AC49" s="48"/>
      <c r="AD49" s="48"/>
      <c r="AE49" s="48"/>
      <c r="AF49" s="496">
        <v>11</v>
      </c>
    </row>
    <row r="50" s="496" customFormat="1" ht="11.5" customHeight="1">
      <c r="A50" s="805"/>
      <c r="C50" s="478"/>
      <c r="D50" s="268"/>
      <c r="E50" s="764" t="str">
        <f>FHD_NUM_P_14</f>
        <v>2.4.1</v>
      </c>
      <c r="F50" s="800" t="str">
        <f>FHD_P_14</f>
        <v xml:space="preserve">Расходы на оплату труда основного производственного персонала</v>
      </c>
      <c r="G50" s="157" t="s">
        <v>554</v>
      </c>
      <c r="H50" s="784"/>
      <c r="I50" s="784"/>
      <c r="J50" s="499" t="str">
        <f>FHD_NOTE_P_14</f>
        <v/>
      </c>
      <c r="K50" s="57" t="str">
        <f t="shared" si="47"/>
        <v/>
      </c>
      <c r="L50" s="478"/>
      <c r="M50" s="478"/>
      <c r="R50" s="478"/>
      <c r="U50" s="806"/>
      <c r="AA50" s="48"/>
      <c r="AB50" s="48"/>
      <c r="AC50" s="48"/>
      <c r="AD50" s="48"/>
      <c r="AE50" s="48"/>
      <c r="AF50" s="496">
        <v>11</v>
      </c>
    </row>
    <row r="51" s="496" customFormat="1" ht="11.5" customHeight="1">
      <c r="A51" s="805"/>
      <c r="C51" s="478"/>
      <c r="D51" s="268"/>
      <c r="E51" s="764" t="str">
        <f>FHD_NUM_P_15</f>
        <v>2.4.2</v>
      </c>
      <c r="F51" s="800"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7" t="s">
        <v>554</v>
      </c>
      <c r="H51" s="784"/>
      <c r="I51" s="784"/>
      <c r="J51" s="499" t="str">
        <f>FHD_NOTE_P_15</f>
        <v/>
      </c>
      <c r="K51" s="57" t="str">
        <f t="shared" si="47"/>
        <v/>
      </c>
      <c r="L51" s="478"/>
      <c r="M51" s="478"/>
      <c r="R51" s="478"/>
      <c r="U51" s="806"/>
      <c r="AA51" s="48"/>
      <c r="AB51" s="48"/>
      <c r="AC51" s="48"/>
      <c r="AD51" s="48"/>
      <c r="AE51" s="48"/>
      <c r="AF51" s="496">
        <v>11</v>
      </c>
    </row>
    <row r="52" s="53" customFormat="1" ht="11.5" customHeight="1">
      <c r="A52" s="762"/>
      <c r="C52" s="57"/>
      <c r="D52" s="125"/>
      <c r="E52" s="764" t="str">
        <f>FHD_NUM_P_16</f>
        <v>2.5</v>
      </c>
      <c r="F52" s="686"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 t="s">
        <v>554</v>
      </c>
      <c r="H52" s="784"/>
      <c r="I52" s="784"/>
      <c r="J52" s="499" t="str">
        <f>FHD_NOTE_P_16</f>
        <v xml:space="preserve">Указывается общая сумма расходов на оплату труда и отчислений на социальные нужды административно-управленческого персонала.</v>
      </c>
      <c r="K52" s="57" t="str">
        <f t="shared" si="47"/>
        <v>p</v>
      </c>
      <c r="L52" s="57"/>
      <c r="M52" s="57"/>
      <c r="N52" s="53"/>
      <c r="O52" s="53"/>
      <c r="R52" s="57"/>
      <c r="U52" s="763"/>
      <c r="AA52" s="56"/>
      <c r="AB52" s="56"/>
      <c r="AC52" s="56"/>
      <c r="AD52" s="56"/>
      <c r="AE52" s="56"/>
      <c r="AF52" s="53">
        <v>11</v>
      </c>
    </row>
    <row r="53" s="53" customFormat="1" ht="11.5" customHeight="1">
      <c r="A53" s="762"/>
      <c r="C53" s="57"/>
      <c r="D53" s="125"/>
      <c r="E53" s="764" t="str">
        <f>FHD_NUM_P_17</f>
        <v>2.5.1</v>
      </c>
      <c r="F53" s="800" t="str">
        <f>FHD_P_17</f>
        <v xml:space="preserve">Расходы на оплату труда административно-управленческого персонала</v>
      </c>
      <c r="G53" s="157" t="s">
        <v>554</v>
      </c>
      <c r="H53" s="784"/>
      <c r="I53" s="784"/>
      <c r="J53" s="499" t="str">
        <f>FHD_NOTE_P_17</f>
        <v/>
      </c>
      <c r="K53" s="57" t="str">
        <f t="shared" si="47"/>
        <v/>
      </c>
      <c r="L53" s="57"/>
      <c r="M53" s="57"/>
      <c r="N53" s="53"/>
      <c r="O53" s="53"/>
      <c r="R53" s="57"/>
      <c r="U53" s="763"/>
      <c r="AA53" s="56"/>
      <c r="AB53" s="56"/>
      <c r="AC53" s="56"/>
      <c r="AD53" s="56"/>
      <c r="AE53" s="56"/>
      <c r="AF53" s="53">
        <v>11</v>
      </c>
    </row>
    <row r="54" s="53" customFormat="1" ht="11.5" customHeight="1">
      <c r="A54" s="762"/>
      <c r="C54" s="57"/>
      <c r="D54" s="125"/>
      <c r="E54" s="764" t="str">
        <f>FHD_NUM_P_18</f>
        <v>2.5.2</v>
      </c>
      <c r="F54" s="800"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7" t="s">
        <v>554</v>
      </c>
      <c r="H54" s="784"/>
      <c r="I54" s="784"/>
      <c r="J54" s="499" t="str">
        <f>FHD_NOTE_P_18</f>
        <v/>
      </c>
      <c r="K54" s="57" t="str">
        <f t="shared" si="47"/>
        <v/>
      </c>
      <c r="L54" s="57"/>
      <c r="M54" s="57"/>
      <c r="N54" s="53"/>
      <c r="O54" s="53"/>
      <c r="R54" s="57"/>
      <c r="U54" s="763"/>
      <c r="AA54" s="56"/>
      <c r="AB54" s="56"/>
      <c r="AC54" s="56"/>
      <c r="AD54" s="56"/>
      <c r="AE54" s="56"/>
      <c r="AF54" s="53">
        <v>11</v>
      </c>
    </row>
    <row r="55" s="53" customFormat="1" ht="11.5" customHeight="1">
      <c r="A55" s="762"/>
      <c r="C55" s="57"/>
      <c r="D55" s="803"/>
      <c r="E55" s="764" t="str">
        <f>FHD_NUM_P_19</f>
        <v>2.6</v>
      </c>
      <c r="F55" s="686" t="str">
        <f>FHD_P_19</f>
        <v xml:space="preserve">Расходы на амортизацию основных средств и нематериальных активов</v>
      </c>
      <c r="G55" s="157" t="s">
        <v>554</v>
      </c>
      <c r="H55" s="784"/>
      <c r="I55" s="784"/>
      <c r="J55" s="499" t="str">
        <f>FHD_NOTE_P_19</f>
        <v/>
      </c>
      <c r="K55" s="57" t="str">
        <f t="shared" si="47"/>
        <v>p</v>
      </c>
      <c r="L55" s="57"/>
      <c r="M55" s="57"/>
      <c r="R55" s="57"/>
      <c r="U55" s="763"/>
      <c r="AA55" s="56"/>
      <c r="AB55" s="56"/>
      <c r="AC55" s="56"/>
      <c r="AD55" s="56"/>
      <c r="AE55" s="56"/>
      <c r="AF55" s="53">
        <v>11</v>
      </c>
    </row>
    <row r="56" s="53" customFormat="1" ht="11.5" customHeight="1">
      <c r="A56" s="762"/>
      <c r="C56" s="57"/>
      <c r="D56" s="803"/>
      <c r="E56" s="764" t="str">
        <f>FHD_NUM_P_20</f>
        <v>2.6.1</v>
      </c>
      <c r="F56" s="800" t="str">
        <f>FHD_P_20</f>
        <v xml:space="preserve">Расходы на амортизацию основных средств</v>
      </c>
      <c r="G56" s="157" t="s">
        <v>554</v>
      </c>
      <c r="H56" s="784"/>
      <c r="I56" s="784"/>
      <c r="J56" s="499" t="str">
        <f>FHD_NOTE_P_20</f>
        <v/>
      </c>
      <c r="K56" s="57" t="str">
        <f t="shared" si="47"/>
        <v/>
      </c>
      <c r="L56" s="57"/>
      <c r="M56" s="57"/>
      <c r="R56" s="57"/>
      <c r="U56" s="763"/>
      <c r="AA56" s="56"/>
      <c r="AB56" s="56"/>
      <c r="AC56" s="56"/>
      <c r="AD56" s="56"/>
      <c r="AE56" s="56"/>
      <c r="AF56" s="53">
        <v>11</v>
      </c>
    </row>
    <row r="57" s="53" customFormat="1" ht="11.5" customHeight="1">
      <c r="A57" s="762"/>
      <c r="C57" s="57"/>
      <c r="D57" s="803"/>
      <c r="E57" s="764" t="str">
        <f>FHD_NUM_P_21</f>
        <v>2.6.2</v>
      </c>
      <c r="F57" s="800" t="str">
        <f>FHD_P_21</f>
        <v xml:space="preserve">Расходы на амортизацию нематериальных активов</v>
      </c>
      <c r="G57" s="157" t="s">
        <v>554</v>
      </c>
      <c r="H57" s="784"/>
      <c r="I57" s="784"/>
      <c r="J57" s="499" t="str">
        <f>FHD_NOTE_P_21</f>
        <v/>
      </c>
      <c r="K57" s="57" t="str">
        <f t="shared" si="47"/>
        <v/>
      </c>
      <c r="L57" s="57"/>
      <c r="M57" s="57"/>
      <c r="R57" s="57"/>
      <c r="U57" s="763"/>
      <c r="AA57" s="56"/>
      <c r="AB57" s="56"/>
      <c r="AC57" s="56"/>
      <c r="AD57" s="56"/>
      <c r="AE57" s="56"/>
      <c r="AF57" s="53">
        <v>11</v>
      </c>
    </row>
    <row r="58" s="53" customFormat="1" ht="11.5" customHeight="1">
      <c r="A58" s="762"/>
      <c r="C58" s="57"/>
      <c r="D58" s="125"/>
      <c r="E58" s="764" t="str">
        <f>FHD_NUM_P_22</f>
        <v>2.7</v>
      </c>
      <c r="F58" s="686" t="str">
        <f>FHD_P_22</f>
        <v xml:space="preserve">Расходы на аренду имущества, используемого для осуществления регулируемых видов деятельности в сфере холодного водоснабжения</v>
      </c>
      <c r="G58" s="157" t="s">
        <v>554</v>
      </c>
      <c r="H58" s="784"/>
      <c r="I58" s="784"/>
      <c r="J58" s="499" t="str">
        <f>FHD_NOTE_P_22</f>
        <v/>
      </c>
      <c r="K58" s="57" t="str">
        <f t="shared" si="47"/>
        <v>p</v>
      </c>
      <c r="L58" s="57"/>
      <c r="M58" s="57"/>
      <c r="R58" s="57"/>
      <c r="U58" s="763"/>
      <c r="AA58" s="56"/>
      <c r="AB58" s="56"/>
      <c r="AC58" s="56"/>
      <c r="AD58" s="56"/>
      <c r="AE58" s="56"/>
      <c r="AF58" s="53">
        <v>11</v>
      </c>
    </row>
    <row r="59" s="53" customFormat="1" ht="11.5" customHeight="1">
      <c r="A59" s="762"/>
      <c r="C59" s="57"/>
      <c r="D59" s="803"/>
      <c r="E59" s="764" t="str">
        <f>FHD_NUM_P_23</f>
        <v>2.8</v>
      </c>
      <c r="F59" s="686" t="str">
        <f>FHD_P_23</f>
        <v xml:space="preserve">Общепроизводственные расходы, в том числе:</v>
      </c>
      <c r="G59" s="157" t="s">
        <v>554</v>
      </c>
      <c r="H59" s="784"/>
      <c r="I59" s="784"/>
      <c r="J59" s="499" t="str">
        <f>FHD_NOTE_P_23</f>
        <v xml:space="preserve">Указывается общая сумма общепроизводственных расходов.</v>
      </c>
      <c r="K59" s="57" t="str">
        <f t="shared" si="47"/>
        <v>p</v>
      </c>
      <c r="L59" s="57"/>
      <c r="M59" s="57"/>
      <c r="R59" s="57"/>
      <c r="U59" s="763"/>
      <c r="AA59" s="56"/>
      <c r="AB59" s="56"/>
      <c r="AC59" s="56"/>
      <c r="AD59" s="56"/>
      <c r="AE59" s="56"/>
      <c r="AF59" s="53">
        <v>11</v>
      </c>
    </row>
    <row r="60" s="53" customFormat="1" ht="11.5" customHeight="1">
      <c r="A60" s="762"/>
      <c r="C60" s="57"/>
      <c r="D60" s="803"/>
      <c r="E60" s="764" t="str">
        <f>FHD_NUM_P_24</f>
        <v>2.8.1</v>
      </c>
      <c r="F60" s="800" t="str">
        <f>FHD_P_24</f>
        <v xml:space="preserve">Расходы на текущий ремонт</v>
      </c>
      <c r="G60" s="157" t="s">
        <v>554</v>
      </c>
      <c r="H60" s="784"/>
      <c r="I60" s="784"/>
      <c r="J60" s="499" t="str">
        <f>FHD_NOTE_P_24</f>
        <v xml:space="preserve">Указываются расходы на текущий ремонт, отнесенные к общепроизводственным расходам.</v>
      </c>
      <c r="K60" s="57" t="str">
        <f t="shared" si="47"/>
        <v/>
      </c>
      <c r="L60" s="57"/>
      <c r="M60" s="57"/>
      <c r="R60" s="57"/>
      <c r="U60" s="763"/>
      <c r="AA60" s="56"/>
      <c r="AB60" s="56"/>
      <c r="AC60" s="56"/>
      <c r="AD60" s="56"/>
      <c r="AE60" s="56"/>
      <c r="AF60" s="53">
        <v>11</v>
      </c>
    </row>
    <row r="61" s="53" customFormat="1" ht="11.5" customHeight="1">
      <c r="A61" s="762"/>
      <c r="C61" s="57"/>
      <c r="D61" s="803"/>
      <c r="E61" s="764" t="str">
        <f>FHD_NUM_P_25</f>
        <v>2.8.2</v>
      </c>
      <c r="F61" s="800" t="str">
        <f>FHD_P_25</f>
        <v xml:space="preserve">Расходы на капитальный ремонт</v>
      </c>
      <c r="G61" s="157" t="s">
        <v>554</v>
      </c>
      <c r="H61" s="784"/>
      <c r="I61" s="784"/>
      <c r="J61" s="499"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63"/>
      <c r="AA61" s="56"/>
      <c r="AB61" s="56"/>
      <c r="AC61" s="56"/>
      <c r="AD61" s="56"/>
      <c r="AE61" s="56"/>
      <c r="AF61" s="53">
        <v>11</v>
      </c>
    </row>
    <row r="62" s="53" customFormat="1" ht="11.5" customHeight="1">
      <c r="A62" s="762"/>
      <c r="C62" s="57"/>
      <c r="D62" s="125"/>
      <c r="E62" s="764" t="str">
        <f>FHD_NUM_P_26</f>
        <v>2.9</v>
      </c>
      <c r="F62" s="686" t="str">
        <f>FHD_P_26</f>
        <v xml:space="preserve">Общехозяйственные расходы, в том числе:</v>
      </c>
      <c r="G62" s="157" t="s">
        <v>554</v>
      </c>
      <c r="H62" s="784"/>
      <c r="I62" s="784"/>
      <c r="J62" s="499" t="str">
        <f>FHD_NOTE_P_26</f>
        <v xml:space="preserve">Указывается общая сумма общехозяйственных расходов.</v>
      </c>
      <c r="K62" s="57" t="str">
        <f t="shared" si="47"/>
        <v>p</v>
      </c>
      <c r="L62" s="57"/>
      <c r="M62" s="57"/>
      <c r="R62" s="57"/>
      <c r="U62" s="763"/>
      <c r="AA62" s="56"/>
      <c r="AB62" s="56"/>
      <c r="AC62" s="56"/>
      <c r="AD62" s="56"/>
      <c r="AE62" s="56"/>
      <c r="AF62" s="53">
        <v>11</v>
      </c>
    </row>
    <row r="63" s="53" customFormat="1" ht="11.5" customHeight="1">
      <c r="A63" s="762"/>
      <c r="C63" s="57"/>
      <c r="D63" s="125"/>
      <c r="E63" s="764" t="str">
        <f>FHD_NUM_P_27</f>
        <v>2.9.1</v>
      </c>
      <c r="F63" s="800" t="str">
        <f>FHD_P_27</f>
        <v xml:space="preserve">Расходы на текущий ремонт</v>
      </c>
      <c r="G63" s="157" t="s">
        <v>554</v>
      </c>
      <c r="H63" s="784"/>
      <c r="I63" s="784"/>
      <c r="J63" s="499" t="str">
        <f>FHD_NOTE_P_27</f>
        <v xml:space="preserve">Указываются расходы на текущий ремонт, отнесенные к общехозяйственным расходам.</v>
      </c>
      <c r="K63" s="57" t="str">
        <f t="shared" si="47"/>
        <v/>
      </c>
      <c r="L63" s="57"/>
      <c r="M63" s="57"/>
      <c r="R63" s="57"/>
      <c r="U63" s="763"/>
      <c r="AA63" s="56"/>
      <c r="AB63" s="56"/>
      <c r="AC63" s="56"/>
      <c r="AD63" s="56"/>
      <c r="AE63" s="56"/>
      <c r="AF63" s="53">
        <v>11</v>
      </c>
    </row>
    <row r="64" s="53" customFormat="1" ht="11.5" customHeight="1">
      <c r="A64" s="762"/>
      <c r="C64" s="57"/>
      <c r="D64" s="125"/>
      <c r="E64" s="764" t="str">
        <f>FHD_NUM_P_28</f>
        <v>2.9.2</v>
      </c>
      <c r="F64" s="800" t="str">
        <f>FHD_P_28</f>
        <v xml:space="preserve">Расходы на капитальный ремонт</v>
      </c>
      <c r="G64" s="157" t="s">
        <v>554</v>
      </c>
      <c r="H64" s="784"/>
      <c r="I64" s="784"/>
      <c r="J64" s="499" t="str">
        <f>FHD_NOTE_P_28</f>
        <v xml:space="preserve">Указываются расходы на капитальный ремонт, отнесенные к общехозяйственным расходам.</v>
      </c>
      <c r="K64" s="57" t="str">
        <f t="shared" si="47"/>
        <v/>
      </c>
      <c r="L64" s="57"/>
      <c r="M64" s="57"/>
      <c r="R64" s="57"/>
      <c r="U64" s="763"/>
      <c r="AA64" s="56"/>
      <c r="AB64" s="56"/>
      <c r="AC64" s="56"/>
      <c r="AD64" s="56"/>
      <c r="AE64" s="56"/>
      <c r="AF64" s="53">
        <v>11</v>
      </c>
    </row>
    <row r="65" s="53" customFormat="1" ht="11.5" customHeight="1">
      <c r="A65" s="762"/>
      <c r="C65" s="57"/>
      <c r="D65" s="125"/>
      <c r="E65" s="764" t="str">
        <f>FHD_NUM_P_29</f>
        <v>2.10</v>
      </c>
      <c r="F65" s="686" t="str">
        <f>FHD_P_29</f>
        <v xml:space="preserve">Расходы на капитальный и текущий ремонт основных средств</v>
      </c>
      <c r="G65" s="157" t="s">
        <v>554</v>
      </c>
      <c r="H65" s="784"/>
      <c r="I65" s="784"/>
      <c r="J65" s="499"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63"/>
      <c r="AA65" s="56"/>
      <c r="AB65" s="56"/>
      <c r="AC65" s="56"/>
      <c r="AD65" s="56"/>
      <c r="AE65" s="56"/>
      <c r="AF65" s="53">
        <v>11</v>
      </c>
    </row>
    <row r="66" s="53" customFormat="1" ht="11.5" customHeight="1">
      <c r="A66" s="762"/>
      <c r="C66" s="57"/>
      <c r="D66" s="125"/>
      <c r="E66" s="764" t="str">
        <f>FHD_NUM_P_30</f>
        <v>2.10.1</v>
      </c>
      <c r="F66" s="800"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 t="s">
        <v>308</v>
      </c>
      <c r="H66" s="402" t="s">
        <v>577</v>
      </c>
      <c r="I66" s="402" t="s">
        <v>577</v>
      </c>
      <c r="J66" s="499" t="str">
        <f>FHD_NOTE_P_30</f>
        <v/>
      </c>
      <c r="K66" s="57" t="str">
        <f t="shared" si="47"/>
        <v/>
      </c>
      <c r="L66" s="57">
        <f>_xlfn.IFERROR(MATCH("есть",B_FHD_FLAG_INDEX_1,0),0)</f>
        <v>0</v>
      </c>
      <c r="M66" s="57"/>
      <c r="R66" s="57"/>
      <c r="U66" s="763"/>
      <c r="AA66" s="56"/>
      <c r="AB66" s="56"/>
      <c r="AC66" s="56"/>
      <c r="AD66" s="56"/>
      <c r="AE66" s="56"/>
      <c r="AF66" s="53">
        <v>11</v>
      </c>
    </row>
    <row r="67" s="53" customFormat="1" ht="23.25" customHeight="1">
      <c r="A67" s="786" t="s">
        <v>578</v>
      </c>
      <c r="C67" s="57"/>
      <c r="D67" s="125"/>
      <c r="E67" s="764" t="str">
        <f>FHD_NUM_P_31</f>
        <v>2.11</v>
      </c>
      <c r="F67" s="686"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7" t="s">
        <v>554</v>
      </c>
      <c r="H67" s="784"/>
      <c r="I67" s="784"/>
      <c r="J67" s="499"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7" t="str">
        <f t="shared" si="47"/>
        <v>p</v>
      </c>
      <c r="L67" s="57"/>
      <c r="M67" s="57"/>
      <c r="R67" s="57"/>
      <c r="U67" s="763"/>
      <c r="AA67" s="56"/>
      <c r="AB67" s="56"/>
      <c r="AC67" s="56"/>
      <c r="AD67" s="56"/>
      <c r="AE67" s="56"/>
      <c r="AF67" s="53">
        <v>22</v>
      </c>
    </row>
    <row r="68" s="53" customFormat="1" ht="47.25" customHeight="1">
      <c r="A68" s="786"/>
      <c r="C68" s="57"/>
      <c r="D68" s="125"/>
      <c r="E68" s="764" t="str">
        <f>FHD_NUM_P_32</f>
        <v>2.11.1</v>
      </c>
      <c r="F68" s="800"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7" t="s">
        <v>308</v>
      </c>
      <c r="H68" s="402" t="s">
        <v>577</v>
      </c>
      <c r="I68" s="402" t="s">
        <v>577</v>
      </c>
      <c r="J68" s="499" t="str">
        <f>FHD_NOTE_P_32</f>
        <v/>
      </c>
      <c r="K68" s="57" t="str">
        <f t="shared" si="47"/>
        <v/>
      </c>
      <c r="L68" s="57">
        <f>_xlfn.IFERROR(MATCH("есть",B_FHD_FLAG_INDEX_2,0),0)</f>
        <v>0</v>
      </c>
      <c r="M68" s="57"/>
      <c r="R68" s="57"/>
      <c r="U68" s="763"/>
      <c r="AA68" s="56"/>
      <c r="AB68" s="56"/>
      <c r="AC68" s="56"/>
      <c r="AD68" s="56"/>
      <c r="AE68" s="56"/>
      <c r="AF68" s="53">
        <v>45</v>
      </c>
    </row>
    <row r="69" s="53" customFormat="1" ht="11.5" customHeight="1">
      <c r="A69" s="762"/>
      <c r="C69" s="57"/>
      <c r="D69" s="125"/>
      <c r="E69" s="764" t="str">
        <f>FHD_NUM_P_33</f>
        <v>2.12</v>
      </c>
      <c r="F69" s="686" t="str">
        <f>FHD_P_33</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24" t="s">
        <v>554</v>
      </c>
      <c r="H69" s="807">
        <f>SUM(H70:H71)</f>
        <v>0</v>
      </c>
      <c r="I69" s="807">
        <f>SUM(I70:I71)</f>
        <v>0</v>
      </c>
      <c r="J69" s="499"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7" t="str">
        <f t="shared" si="47"/>
        <v>p</v>
      </c>
      <c r="L69" s="57"/>
      <c r="M69" s="57"/>
      <c r="R69" s="57"/>
      <c r="U69" s="763"/>
      <c r="AA69" s="56"/>
      <c r="AB69" s="56"/>
      <c r="AC69" s="56"/>
      <c r="AD69" s="56"/>
      <c r="AE69" s="56"/>
      <c r="AF69" s="53">
        <v>11</v>
      </c>
    </row>
    <row r="70" s="57" customFormat="1" ht="1.05" customHeight="1">
      <c r="A70" s="545"/>
      <c r="D70" s="545"/>
      <c r="E70" s="158" t="str">
        <f>E69&amp;".0"</f>
        <v>2.12.0</v>
      </c>
      <c r="F70" s="808"/>
      <c r="G70" s="158"/>
      <c r="H70" s="809"/>
      <c r="I70" s="809"/>
      <c r="J70" s="810"/>
      <c r="K70" s="57" t="str">
        <f t="shared" si="47"/>
        <v/>
      </c>
      <c r="AF70" s="57">
        <v>1</v>
      </c>
    </row>
    <row r="71" s="53" customFormat="1" ht="14.65" customHeight="1">
      <c r="A71" s="762"/>
      <c r="C71" s="57"/>
      <c r="D71" s="128"/>
      <c r="E71" s="797"/>
      <c r="F71" s="235" t="s">
        <v>579</v>
      </c>
      <c r="G71" s="798"/>
      <c r="H71" s="799"/>
      <c r="I71" s="799"/>
      <c r="J71" s="563"/>
      <c r="K71" s="57"/>
      <c r="L71" s="57"/>
      <c r="M71" s="57"/>
      <c r="R71" s="57"/>
      <c r="U71" s="763"/>
      <c r="AA71" s="56"/>
      <c r="AB71" s="56"/>
      <c r="AC71" s="56"/>
      <c r="AD71" s="56"/>
      <c r="AE71" s="56"/>
      <c r="AF71" s="53">
        <v>14</v>
      </c>
    </row>
    <row r="72" s="53" customFormat="1" ht="18.75" hidden="1" customHeight="1">
      <c r="A72" s="802" t="s">
        <v>580</v>
      </c>
      <c r="C72" s="57"/>
      <c r="D72" s="125"/>
      <c r="E72" s="764" t="str">
        <f>FHD_NUM_P_34</f>
        <v/>
      </c>
      <c r="F72" s="330" t="str">
        <f>FHD_P_34</f>
        <v/>
      </c>
      <c r="G72" s="157" t="s">
        <v>554</v>
      </c>
      <c r="H72" s="784"/>
      <c r="I72" s="784"/>
      <c r="J72" s="499" t="str">
        <f>FHD_NOTE_P_34</f>
        <v/>
      </c>
      <c r="K72" s="766"/>
      <c r="L72" s="57"/>
      <c r="M72" s="57"/>
      <c r="R72" s="57"/>
      <c r="U72" s="763"/>
      <c r="AA72" s="56"/>
      <c r="AB72" s="56"/>
      <c r="AC72" s="56"/>
      <c r="AD72" s="56"/>
      <c r="AE72" s="56"/>
      <c r="AF72" s="53">
        <v>0</v>
      </c>
    </row>
    <row r="73" s="53" customFormat="1" ht="19.949999999999999" customHeight="1">
      <c r="A73" s="762"/>
      <c r="C73" s="57"/>
      <c r="D73" s="803"/>
      <c r="E73" s="764" t="str">
        <f>FHD_NUM_P_35</f>
        <v>3</v>
      </c>
      <c r="F73" s="330" t="str">
        <f>FHD_P_35</f>
        <v xml:space="preserve">Чистая прибыль, полученная от регулируемого вида деятельности в сфере холодного водоснабжения, в том числе:</v>
      </c>
      <c r="G73" s="157" t="s">
        <v>554</v>
      </c>
      <c r="H73" s="784"/>
      <c r="I73" s="784"/>
      <c r="J73" s="499" t="str">
        <f>FHD_NOTE_P_35</f>
        <v xml:space="preserve">Указывается общая сумма чистой прибыли, полученной от регулируемого вида деятельности.</v>
      </c>
      <c r="K73" s="766"/>
      <c r="L73" s="57"/>
      <c r="M73" s="57"/>
      <c r="R73" s="57"/>
      <c r="U73" s="763"/>
      <c r="AA73" s="56"/>
      <c r="AB73" s="56"/>
      <c r="AC73" s="56"/>
      <c r="AD73" s="56"/>
      <c r="AE73" s="56"/>
      <c r="AF73" s="53">
        <v>19</v>
      </c>
    </row>
    <row r="74" s="53" customFormat="1" ht="19.949999999999999" customHeight="1">
      <c r="A74" s="762"/>
      <c r="C74" s="57"/>
      <c r="D74" s="125"/>
      <c r="E74" s="764" t="str">
        <f>FHD_NUM_P_36</f>
        <v>3.1</v>
      </c>
      <c r="F74" s="686"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7" t="s">
        <v>554</v>
      </c>
      <c r="H74" s="784"/>
      <c r="I74" s="784"/>
      <c r="J74" s="499" t="str">
        <f>FHD_NOTE_P_36</f>
        <v/>
      </c>
      <c r="K74" s="766"/>
      <c r="L74" s="57"/>
      <c r="M74" s="57"/>
      <c r="R74" s="57"/>
      <c r="U74" s="763"/>
      <c r="AA74" s="56"/>
      <c r="AB74" s="56"/>
      <c r="AC74" s="56"/>
      <c r="AD74" s="56"/>
      <c r="AE74" s="56"/>
      <c r="AF74" s="53">
        <v>19</v>
      </c>
    </row>
    <row r="75" s="53" customFormat="1" ht="19.949999999999999" customHeight="1">
      <c r="A75" s="762"/>
      <c r="C75" s="57"/>
      <c r="D75" s="125"/>
      <c r="E75" s="764" t="str">
        <f>FHD_NUM_P_37</f>
        <v>4</v>
      </c>
      <c r="F75" s="330" t="str">
        <f>FHD_P_37</f>
        <v xml:space="preserve">Изменение стоимости основных фондов, в том числе:</v>
      </c>
      <c r="G75" s="157" t="s">
        <v>554</v>
      </c>
      <c r="H75" s="784"/>
      <c r="I75" s="784"/>
      <c r="J75" s="499" t="str">
        <f>FHD_NOTE_P_37</f>
        <v xml:space="preserve">Указывается общее изменение стоимости основных фондов.</v>
      </c>
      <c r="K75" s="766"/>
      <c r="L75" s="57"/>
      <c r="M75" s="57"/>
      <c r="R75" s="57"/>
      <c r="U75" s="763"/>
      <c r="AA75" s="56"/>
      <c r="AB75" s="56"/>
      <c r="AC75" s="56"/>
      <c r="AD75" s="56"/>
      <c r="AE75" s="56"/>
      <c r="AF75" s="53">
        <v>19</v>
      </c>
    </row>
    <row r="76" s="53" customFormat="1" ht="19.949999999999999" customHeight="1">
      <c r="A76" s="762"/>
      <c r="C76" s="57"/>
      <c r="D76" s="125"/>
      <c r="E76" s="764" t="str">
        <f>FHD_NUM_P_38</f>
        <v>4.1</v>
      </c>
      <c r="F76" s="686" t="str">
        <f>FHD_P_38</f>
        <v xml:space="preserve">Изменение стоимости основных фондов за счет их ввода в эксплуатацию (вывода из эксплуатации)</v>
      </c>
      <c r="G76" s="157" t="s">
        <v>554</v>
      </c>
      <c r="H76" s="784"/>
      <c r="I76" s="784"/>
      <c r="J76" s="499" t="str">
        <f>FHD_NOTE_P_38</f>
        <v xml:space="preserve">Указываются общее изменение стоимости основных фондов за счет их ввода в эксплуатацию и вывода из эксплуатации.</v>
      </c>
      <c r="K76" s="766"/>
      <c r="L76" s="57"/>
      <c r="M76" s="57"/>
      <c r="R76" s="57"/>
      <c r="U76" s="763"/>
      <c r="AA76" s="56"/>
      <c r="AB76" s="56"/>
      <c r="AC76" s="56"/>
      <c r="AD76" s="56"/>
      <c r="AE76" s="56"/>
      <c r="AF76" s="53">
        <v>19</v>
      </c>
    </row>
    <row r="77" s="53" customFormat="1" ht="19.949999999999999" customHeight="1">
      <c r="A77" s="762"/>
      <c r="C77" s="57"/>
      <c r="D77" s="125"/>
      <c r="E77" s="764" t="str">
        <f>FHD_NUM_P_39</f>
        <v>4.1.1</v>
      </c>
      <c r="F77" s="800" t="str">
        <f>FHD_P_39</f>
        <v xml:space="preserve">Изменение стоимости основных фондов за счет их ввода в эксплуатацию</v>
      </c>
      <c r="G77" s="324" t="s">
        <v>554</v>
      </c>
      <c r="H77" s="784"/>
      <c r="I77" s="784"/>
      <c r="J77" s="499" t="str">
        <f>FHD_NOTE_P_39</f>
        <v xml:space="preserve">Указываются изменение стоимости основных фондов за счет их ввода в эксплуатацию.</v>
      </c>
      <c r="K77" s="766"/>
      <c r="L77" s="57"/>
      <c r="M77" s="57"/>
      <c r="R77" s="57"/>
      <c r="U77" s="763"/>
      <c r="AA77" s="56"/>
      <c r="AB77" s="56"/>
      <c r="AC77" s="56"/>
      <c r="AD77" s="56"/>
      <c r="AE77" s="56"/>
      <c r="AF77" s="53">
        <v>19</v>
      </c>
    </row>
    <row r="78" s="53" customFormat="1" ht="19.949999999999999" customHeight="1">
      <c r="A78" s="762"/>
      <c r="C78" s="57"/>
      <c r="D78" s="125"/>
      <c r="E78" s="764" t="str">
        <f>FHD_NUM_P_40</f>
        <v>4.1.2</v>
      </c>
      <c r="F78" s="811" t="str">
        <f>FHD_P_40</f>
        <v xml:space="preserve">Изменение стоимости основных фондов за счет их вывода в эксплуатацию</v>
      </c>
      <c r="G78" s="157" t="s">
        <v>554</v>
      </c>
      <c r="H78" s="812"/>
      <c r="I78" s="784"/>
      <c r="J78" s="499" t="str">
        <f>FHD_NOTE_P_40</f>
        <v xml:space="preserve">Указываются изменение стоимости основных фондов за счет их вывода из эксплуатации.</v>
      </c>
      <c r="K78" s="766"/>
      <c r="L78" s="57"/>
      <c r="M78" s="57"/>
      <c r="R78" s="57"/>
      <c r="U78" s="763"/>
      <c r="AA78" s="56"/>
      <c r="AB78" s="56"/>
      <c r="AC78" s="56"/>
      <c r="AD78" s="56"/>
      <c r="AE78" s="56"/>
      <c r="AF78" s="53">
        <v>19</v>
      </c>
    </row>
    <row r="79" s="53" customFormat="1" ht="19.949999999999999" customHeight="1">
      <c r="A79" s="762"/>
      <c r="C79" s="57"/>
      <c r="D79" s="125"/>
      <c r="E79" s="764" t="str">
        <f>FHD_NUM_P_41</f>
        <v>4.2</v>
      </c>
      <c r="F79" s="813" t="str">
        <f>FHD_P_41</f>
        <v xml:space="preserve">Изменение стоимости основных фондов за счет их переоценки</v>
      </c>
      <c r="G79" s="157" t="s">
        <v>554</v>
      </c>
      <c r="H79" s="812"/>
      <c r="I79" s="784"/>
      <c r="J79" s="499" t="str">
        <f>FHD_NOTE_P_41</f>
        <v/>
      </c>
      <c r="K79" s="766"/>
      <c r="L79" s="57"/>
      <c r="M79" s="57"/>
      <c r="R79" s="57"/>
      <c r="U79" s="763"/>
      <c r="AA79" s="56"/>
      <c r="AB79" s="56"/>
      <c r="AC79" s="56"/>
      <c r="AD79" s="56"/>
      <c r="AE79" s="56"/>
      <c r="AF79" s="53">
        <v>19</v>
      </c>
    </row>
    <row r="80" s="53" customFormat="1" ht="19.949999999999999" customHeight="1">
      <c r="A80" s="802" t="s">
        <v>581</v>
      </c>
      <c r="C80" s="57"/>
      <c r="D80" s="125"/>
      <c r="E80" s="764" t="str">
        <f>FHD_NUM_P_42</f>
        <v>5</v>
      </c>
      <c r="F80" s="347" t="str">
        <f>FHD_P_42</f>
        <v xml:space="preserve">Валовая прибыль (убытки) от продажи товаров и услуг по регулируемым видам деятельности в сфере холодного водоснабжения</v>
      </c>
      <c r="G80" s="157" t="s">
        <v>554</v>
      </c>
      <c r="H80" s="812"/>
      <c r="I80" s="784"/>
      <c r="J80" s="499" t="str">
        <f>FHD_NOTE_P_42</f>
        <v/>
      </c>
      <c r="K80" s="766"/>
      <c r="L80" s="57"/>
      <c r="M80" s="57"/>
      <c r="R80" s="57"/>
      <c r="U80" s="763"/>
      <c r="AA80" s="56"/>
      <c r="AB80" s="56"/>
      <c r="AC80" s="56"/>
      <c r="AD80" s="56"/>
      <c r="AE80" s="56"/>
      <c r="AF80" s="53">
        <v>19</v>
      </c>
    </row>
    <row r="81" s="53" customFormat="1" ht="19.949999999999999" customHeight="1">
      <c r="A81" s="762"/>
      <c r="C81" s="57"/>
      <c r="D81" s="125"/>
      <c r="E81" s="764" t="str">
        <f>FHD_NUM_P_43</f>
        <v>6</v>
      </c>
      <c r="F81" s="330" t="str">
        <f>FHD_P_43</f>
        <v xml:space="preserve">Годовая бухгалтерская (финансовая) отчетность, включая бухгалтерский баланс и приложения к нему</v>
      </c>
      <c r="G81" s="162" t="s">
        <v>308</v>
      </c>
      <c r="H81" s="814"/>
      <c r="I81" s="815"/>
      <c r="J81" s="499"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66"/>
      <c r="L81" s="57"/>
      <c r="M81" s="57"/>
      <c r="R81" s="57"/>
      <c r="U81" s="763"/>
      <c r="AA81" s="56"/>
      <c r="AB81" s="56"/>
      <c r="AC81" s="56"/>
      <c r="AD81" s="56"/>
      <c r="AE81" s="56"/>
      <c r="AF81" s="53">
        <v>19</v>
      </c>
    </row>
    <row r="82" s="53" customFormat="1" ht="18.75" customHeight="1">
      <c r="A82" s="786" t="s">
        <v>582</v>
      </c>
      <c r="C82" s="57"/>
      <c r="D82" s="125"/>
      <c r="E82" s="764" t="str">
        <f>FHD_NUM_P_44</f>
        <v>7</v>
      </c>
      <c r="F82" s="330" t="str">
        <f>FHD_P_44</f>
        <v xml:space="preserve">Объём поднятой воды</v>
      </c>
      <c r="G82" s="157" t="s">
        <v>583</v>
      </c>
      <c r="H82" s="816"/>
      <c r="I82" s="804"/>
      <c r="J82" s="499" t="str">
        <f>FHD_NOTE_P_44</f>
        <v/>
      </c>
      <c r="K82" s="766"/>
      <c r="L82" s="57"/>
      <c r="M82" s="57"/>
      <c r="R82" s="57"/>
      <c r="U82" s="763"/>
      <c r="AA82" s="56"/>
      <c r="AB82" s="56"/>
      <c r="AC82" s="56"/>
      <c r="AD82" s="56"/>
      <c r="AE82" s="56"/>
      <c r="AF82" s="53">
        <v>0</v>
      </c>
    </row>
    <row r="83" s="53" customFormat="1" ht="18.75" customHeight="1">
      <c r="A83" s="786"/>
      <c r="C83" s="57"/>
      <c r="D83" s="125"/>
      <c r="E83" s="764" t="str">
        <f>FHD_NUM_P_45</f>
        <v>8</v>
      </c>
      <c r="F83" s="330" t="str">
        <f>FHD_P_45</f>
        <v xml:space="preserve">Объём покупной воды</v>
      </c>
      <c r="G83" s="157" t="s">
        <v>583</v>
      </c>
      <c r="H83" s="816"/>
      <c r="I83" s="804"/>
      <c r="J83" s="499" t="str">
        <f>FHD_NOTE_P_45</f>
        <v/>
      </c>
      <c r="K83" s="766"/>
      <c r="L83" s="57"/>
      <c r="M83" s="57"/>
      <c r="R83" s="57"/>
      <c r="U83" s="763"/>
      <c r="AA83" s="56"/>
      <c r="AB83" s="56"/>
      <c r="AC83" s="56"/>
      <c r="AD83" s="56"/>
      <c r="AE83" s="56"/>
      <c r="AF83" s="53">
        <v>0</v>
      </c>
    </row>
    <row r="84" s="53" customFormat="1" ht="18.75" customHeight="1">
      <c r="A84" s="786"/>
      <c r="C84" s="57"/>
      <c r="D84" s="803"/>
      <c r="E84" s="764" t="str">
        <f>FHD_NUM_P_46</f>
        <v>9</v>
      </c>
      <c r="F84" s="330" t="str">
        <f>FHD_P_46</f>
        <v xml:space="preserve">Объём воды, пропущенной через очистные сооружения</v>
      </c>
      <c r="G84" s="157" t="s">
        <v>583</v>
      </c>
      <c r="H84" s="816"/>
      <c r="I84" s="804"/>
      <c r="J84" s="499" t="str">
        <f>FHD_NOTE_P_46</f>
        <v/>
      </c>
      <c r="K84" s="766"/>
      <c r="L84" s="57"/>
      <c r="M84" s="57"/>
      <c r="R84" s="57"/>
      <c r="U84" s="763"/>
      <c r="AA84" s="56"/>
      <c r="AB84" s="56"/>
      <c r="AC84" s="56"/>
      <c r="AD84" s="56"/>
      <c r="AE84" s="56"/>
      <c r="AF84" s="53">
        <v>0</v>
      </c>
    </row>
    <row r="85" s="53" customFormat="1" ht="18.75" customHeight="1">
      <c r="A85" s="786"/>
      <c r="C85" s="57"/>
      <c r="D85" s="125"/>
      <c r="E85" s="764" t="str">
        <f>FHD_NUM_P_47</f>
        <v>10</v>
      </c>
      <c r="F85" s="330" t="str">
        <f>FHD_P_47</f>
        <v xml:space="preserve">Объём отпущенной потребителям воды, в том числе:</v>
      </c>
      <c r="G85" s="157" t="s">
        <v>583</v>
      </c>
      <c r="H85" s="816"/>
      <c r="I85" s="804"/>
      <c r="J85" s="499" t="str">
        <f>FHD_NOTE_P_47</f>
        <v xml:space="preserve">Указывается общий объем отпущенной потребителям воды.</v>
      </c>
      <c r="K85" s="766"/>
      <c r="L85" s="57"/>
      <c r="M85" s="57"/>
      <c r="R85" s="57"/>
      <c r="U85" s="763"/>
      <c r="AA85" s="56"/>
      <c r="AB85" s="56"/>
      <c r="AC85" s="56"/>
      <c r="AD85" s="56"/>
      <c r="AE85" s="56"/>
      <c r="AF85" s="53">
        <v>0</v>
      </c>
    </row>
    <row r="86" s="50" customFormat="1" ht="18.75" customHeight="1">
      <c r="A86" s="786"/>
      <c r="B86" s="53"/>
      <c r="C86" s="57"/>
      <c r="D86" s="125"/>
      <c r="E86" s="764" t="str">
        <f>FHD_NUM_P_48</f>
        <v>10.1</v>
      </c>
      <c r="F86" s="330" t="str">
        <f>FHD_P_48</f>
        <v xml:space="preserve">Объём отпущенной потребителям воды, определенный по приборам учета</v>
      </c>
      <c r="G86" s="157" t="s">
        <v>583</v>
      </c>
      <c r="H86" s="816"/>
      <c r="I86" s="804"/>
      <c r="J86" s="499" t="str">
        <f>FHD_NOTE_P_48</f>
        <v/>
      </c>
      <c r="K86" s="766"/>
      <c r="L86" s="57"/>
      <c r="M86" s="57"/>
      <c r="N86" s="53"/>
      <c r="O86" s="53"/>
      <c r="P86" s="53"/>
      <c r="Q86" s="53"/>
      <c r="R86" s="57"/>
      <c r="S86" s="53"/>
      <c r="T86" s="53"/>
      <c r="U86" s="763"/>
      <c r="V86" s="53"/>
      <c r="W86" s="53"/>
      <c r="X86" s="53"/>
      <c r="Y86" s="53"/>
      <c r="Z86" s="53"/>
      <c r="AA86" s="56"/>
      <c r="AB86" s="56"/>
      <c r="AC86" s="56"/>
      <c r="AD86" s="56"/>
      <c r="AE86" s="56"/>
      <c r="AF86" s="50">
        <v>0</v>
      </c>
    </row>
    <row r="87" s="50" customFormat="1" ht="18.75" customHeight="1">
      <c r="A87" s="786"/>
      <c r="B87" s="53"/>
      <c r="C87" s="57"/>
      <c r="D87" s="125"/>
      <c r="E87" s="764" t="str">
        <f>FHD_NUM_P_49</f>
        <v>10.2</v>
      </c>
      <c r="F87" s="330" t="str">
        <f>FHD_P_49</f>
        <v xml:space="preserve">Объём отпущенной потребителям воды, определенный расчетным способом</v>
      </c>
      <c r="G87" s="157" t="s">
        <v>583</v>
      </c>
      <c r="H87" s="817">
        <f>SUM(H88:H89)</f>
        <v>0</v>
      </c>
      <c r="I87" s="818">
        <f>SUM(I88:I89)</f>
        <v>0</v>
      </c>
      <c r="J87" s="499" t="str">
        <f>FHD_NOTE_P_49</f>
        <v/>
      </c>
      <c r="K87" s="766"/>
      <c r="L87" s="57"/>
      <c r="M87" s="57"/>
      <c r="N87" s="53"/>
      <c r="O87" s="53"/>
      <c r="P87" s="53"/>
      <c r="Q87" s="53"/>
      <c r="R87" s="57"/>
      <c r="S87" s="53"/>
      <c r="T87" s="53"/>
      <c r="U87" s="763"/>
      <c r="V87" s="53"/>
      <c r="W87" s="53"/>
      <c r="X87" s="53"/>
      <c r="Y87" s="53"/>
      <c r="Z87" s="53"/>
      <c r="AA87" s="56"/>
      <c r="AB87" s="56"/>
      <c r="AC87" s="56"/>
      <c r="AD87" s="56"/>
      <c r="AE87" s="56"/>
      <c r="AF87" s="50">
        <v>0</v>
      </c>
    </row>
    <row r="88" s="50" customFormat="1" ht="18.75" customHeight="1">
      <c r="A88" s="786"/>
      <c r="B88" s="53"/>
      <c r="C88" s="57"/>
      <c r="D88" s="125"/>
      <c r="E88" s="764" t="str">
        <f>FHD_NUM_P_50</f>
        <v>10.2.1</v>
      </c>
      <c r="F88" s="330" t="str">
        <f>FHD_P_50</f>
        <v xml:space="preserve">Объём отпущенной потребителям воды, определенный по нормативам потребления коммунальных услуг</v>
      </c>
      <c r="G88" s="157" t="s">
        <v>583</v>
      </c>
      <c r="H88" s="816"/>
      <c r="I88" s="804"/>
      <c r="J88" s="499" t="str">
        <f>FHD_NOTE_P_50</f>
        <v/>
      </c>
      <c r="K88" s="766"/>
      <c r="L88" s="57"/>
      <c r="M88" s="57"/>
      <c r="N88" s="53"/>
      <c r="O88" s="53"/>
      <c r="P88" s="53"/>
      <c r="Q88" s="53"/>
      <c r="R88" s="57"/>
      <c r="S88" s="53"/>
      <c r="T88" s="53"/>
      <c r="U88" s="763"/>
      <c r="V88" s="53"/>
      <c r="W88" s="53"/>
      <c r="X88" s="53"/>
      <c r="Y88" s="53"/>
      <c r="Z88" s="53"/>
      <c r="AA88" s="56"/>
      <c r="AB88" s="56"/>
      <c r="AC88" s="56"/>
      <c r="AD88" s="56"/>
      <c r="AE88" s="56"/>
      <c r="AF88" s="50">
        <v>0</v>
      </c>
    </row>
    <row r="89" s="50" customFormat="1" ht="18.75" customHeight="1">
      <c r="A89" s="786"/>
      <c r="B89" s="53"/>
      <c r="C89" s="57"/>
      <c r="D89" s="125"/>
      <c r="E89" s="764" t="str">
        <f>FHD_NUM_P_51</f>
        <v>10.2.2</v>
      </c>
      <c r="F89" s="330" t="str">
        <f>FHD_P_51</f>
        <v xml:space="preserve">Объём отпущенной потребителям воды, определенный по нормативам потребления коммунальных ресурсов</v>
      </c>
      <c r="G89" s="157" t="s">
        <v>583</v>
      </c>
      <c r="H89" s="816"/>
      <c r="I89" s="804"/>
      <c r="J89" s="499" t="str">
        <f>FHD_NOTE_P_51</f>
        <v/>
      </c>
      <c r="K89" s="766"/>
      <c r="L89" s="57"/>
      <c r="M89" s="57"/>
      <c r="N89" s="53"/>
      <c r="O89" s="53"/>
      <c r="P89" s="53"/>
      <c r="Q89" s="53"/>
      <c r="R89" s="57"/>
      <c r="S89" s="53"/>
      <c r="T89" s="53"/>
      <c r="U89" s="763"/>
      <c r="V89" s="53"/>
      <c r="W89" s="53"/>
      <c r="X89" s="53"/>
      <c r="Y89" s="53"/>
      <c r="Z89" s="53"/>
      <c r="AA89" s="56"/>
      <c r="AB89" s="56"/>
      <c r="AC89" s="56"/>
      <c r="AD89" s="56"/>
      <c r="AE89" s="56"/>
      <c r="AF89" s="50">
        <v>0</v>
      </c>
    </row>
    <row r="90" s="50" customFormat="1" ht="18.75" customHeight="1">
      <c r="A90" s="786"/>
      <c r="B90" s="53"/>
      <c r="C90" s="57"/>
      <c r="D90" s="125"/>
      <c r="E90" s="764" t="str">
        <f>FHD_NUM_P_52</f>
        <v>11</v>
      </c>
      <c r="F90" s="330" t="str">
        <f>FHD_P_52</f>
        <v xml:space="preserve">Потери воды в сетях</v>
      </c>
      <c r="G90" s="157" t="s">
        <v>560</v>
      </c>
      <c r="H90" s="812"/>
      <c r="I90" s="784"/>
      <c r="J90" s="499" t="str">
        <f>FHD_NOTE_P_52</f>
        <v/>
      </c>
      <c r="K90" s="766"/>
      <c r="L90" s="57"/>
      <c r="M90" s="57"/>
      <c r="N90" s="53"/>
      <c r="O90" s="53"/>
      <c r="P90" s="53"/>
      <c r="Q90" s="53"/>
      <c r="R90" s="57"/>
      <c r="S90" s="53"/>
      <c r="T90" s="53"/>
      <c r="U90" s="763"/>
      <c r="V90" s="53"/>
      <c r="W90" s="53"/>
      <c r="X90" s="53"/>
      <c r="Y90" s="53"/>
      <c r="Z90" s="53"/>
      <c r="AA90" s="56"/>
      <c r="AB90" s="56"/>
      <c r="AC90" s="56"/>
      <c r="AD90" s="56"/>
      <c r="AE90" s="56"/>
      <c r="AF90" s="50">
        <v>0</v>
      </c>
    </row>
    <row r="91" s="53" customFormat="1" ht="18.75" hidden="1" customHeight="1">
      <c r="A91" s="786" t="s">
        <v>584</v>
      </c>
      <c r="C91" s="57"/>
      <c r="D91" s="125"/>
      <c r="E91" s="764" t="str">
        <f>FHD_NUM_P_53</f>
        <v/>
      </c>
      <c r="F91" s="330" t="str">
        <f>FHD_P_53</f>
        <v/>
      </c>
      <c r="G91" s="157" t="s">
        <v>583</v>
      </c>
      <c r="H91" s="816"/>
      <c r="I91" s="804"/>
      <c r="J91" s="499" t="str">
        <f>FHD_NOTE_P_53</f>
        <v/>
      </c>
      <c r="K91" s="766"/>
      <c r="L91" s="57"/>
      <c r="M91" s="57"/>
      <c r="R91" s="57"/>
      <c r="U91" s="763"/>
      <c r="AA91" s="56"/>
      <c r="AB91" s="56"/>
      <c r="AC91" s="56"/>
      <c r="AD91" s="56"/>
      <c r="AE91" s="56"/>
      <c r="AF91" s="53">
        <v>0</v>
      </c>
    </row>
    <row r="92" s="53" customFormat="1" ht="18.75" hidden="1" customHeight="1">
      <c r="A92" s="786"/>
      <c r="C92" s="57"/>
      <c r="D92" s="125"/>
      <c r="E92" s="764" t="str">
        <f>FHD_NUM_P_54</f>
        <v/>
      </c>
      <c r="F92" s="330" t="str">
        <f>FHD_P_54</f>
        <v/>
      </c>
      <c r="G92" s="157" t="s">
        <v>583</v>
      </c>
      <c r="H92" s="816"/>
      <c r="I92" s="804"/>
      <c r="J92" s="499" t="str">
        <f>FHD_NOTE_P_54</f>
        <v/>
      </c>
      <c r="K92" s="766"/>
      <c r="L92" s="57"/>
      <c r="M92" s="57"/>
      <c r="R92" s="57"/>
      <c r="U92" s="763"/>
      <c r="AA92" s="56"/>
      <c r="AB92" s="56"/>
      <c r="AC92" s="56"/>
      <c r="AD92" s="56"/>
      <c r="AE92" s="56"/>
      <c r="AF92" s="53">
        <v>0</v>
      </c>
    </row>
    <row r="93" s="53" customFormat="1" ht="18.75" hidden="1" customHeight="1">
      <c r="A93" s="786"/>
      <c r="C93" s="57"/>
      <c r="D93" s="803"/>
      <c r="E93" s="764" t="str">
        <f>FHD_NUM_P_55</f>
        <v/>
      </c>
      <c r="F93" s="330" t="str">
        <f>FHD_P_55</f>
        <v/>
      </c>
      <c r="G93" s="681"/>
      <c r="H93" s="816"/>
      <c r="I93" s="804"/>
      <c r="J93" s="499" t="str">
        <f>FHD_NOTE_P_55</f>
        <v/>
      </c>
      <c r="K93" s="766"/>
      <c r="L93" s="57"/>
      <c r="M93" s="57"/>
      <c r="R93" s="57"/>
      <c r="U93" s="763"/>
      <c r="AA93" s="56"/>
      <c r="AB93" s="56"/>
      <c r="AC93" s="56"/>
      <c r="AD93" s="56"/>
      <c r="AE93" s="56"/>
      <c r="AF93" s="53">
        <v>0</v>
      </c>
    </row>
    <row r="94" s="53" customFormat="1" ht="18.75" hidden="1" customHeight="1">
      <c r="A94" s="786"/>
      <c r="C94" s="57"/>
      <c r="D94" s="125"/>
      <c r="E94" s="764" t="str">
        <f>FHD_NUM_P_56</f>
        <v/>
      </c>
      <c r="F94" s="330" t="str">
        <f>FHD_P_56</f>
        <v/>
      </c>
      <c r="G94" s="157" t="s">
        <v>585</v>
      </c>
      <c r="H94" s="816"/>
      <c r="I94" s="804"/>
      <c r="J94" s="499" t="str">
        <f>FHD_NOTE_P_56</f>
        <v/>
      </c>
      <c r="K94" s="766"/>
      <c r="L94" s="57"/>
      <c r="M94" s="57"/>
      <c r="R94" s="57"/>
      <c r="U94" s="763"/>
      <c r="AA94" s="56"/>
      <c r="AB94" s="56"/>
      <c r="AC94" s="56"/>
      <c r="AD94" s="56"/>
      <c r="AE94" s="56"/>
      <c r="AF94" s="53">
        <v>0</v>
      </c>
    </row>
    <row r="95" s="50" customFormat="1" ht="18.75" hidden="1" customHeight="1">
      <c r="A95" s="786"/>
      <c r="B95" s="53"/>
      <c r="C95" s="57"/>
      <c r="D95" s="125"/>
      <c r="E95" s="764" t="str">
        <f>FHD_NUM_P_57</f>
        <v/>
      </c>
      <c r="F95" s="330" t="str">
        <f>FHD_P_57</f>
        <v/>
      </c>
      <c r="G95" s="157" t="s">
        <v>560</v>
      </c>
      <c r="H95" s="812"/>
      <c r="I95" s="784"/>
      <c r="J95" s="499" t="str">
        <f>FHD_NOTE_P_57</f>
        <v/>
      </c>
      <c r="K95" s="766"/>
      <c r="L95" s="57"/>
      <c r="M95" s="57"/>
      <c r="N95" s="53"/>
      <c r="O95" s="53"/>
      <c r="P95" s="53"/>
      <c r="Q95" s="53"/>
      <c r="R95" s="57"/>
      <c r="S95" s="53"/>
      <c r="T95" s="53"/>
      <c r="U95" s="763"/>
      <c r="V95" s="53"/>
      <c r="W95" s="53"/>
      <c r="X95" s="53"/>
      <c r="Y95" s="53"/>
      <c r="Z95" s="53"/>
      <c r="AA95" s="56"/>
      <c r="AB95" s="56"/>
      <c r="AC95" s="56"/>
      <c r="AD95" s="56"/>
      <c r="AE95" s="56"/>
      <c r="AF95" s="50">
        <v>0</v>
      </c>
    </row>
    <row r="96" ht="18.75" hidden="1" customHeight="1">
      <c r="A96" s="786" t="s">
        <v>586</v>
      </c>
      <c r="D96" s="125"/>
      <c r="E96" s="764" t="str">
        <f>FHD_NUM_P_58</f>
        <v/>
      </c>
      <c r="F96" s="330" t="str">
        <f>FHD_P_58</f>
        <v/>
      </c>
      <c r="G96" s="157" t="s">
        <v>583</v>
      </c>
      <c r="H96" s="816"/>
      <c r="I96" s="804"/>
      <c r="J96" s="499" t="str">
        <f>FHD_NOTE_P_58</f>
        <v/>
      </c>
      <c r="K96" s="766"/>
      <c r="AF96" s="50">
        <v>0</v>
      </c>
    </row>
    <row r="97" ht="18.75" hidden="1" customHeight="1">
      <c r="A97" s="786"/>
      <c r="D97" s="125"/>
      <c r="E97" s="764" t="str">
        <f>FHD_NUM_P_59</f>
        <v/>
      </c>
      <c r="F97" s="330" t="str">
        <f>FHD_P_59</f>
        <v/>
      </c>
      <c r="G97" s="157" t="s">
        <v>583</v>
      </c>
      <c r="H97" s="816"/>
      <c r="I97" s="804"/>
      <c r="J97" s="499" t="str">
        <f>FHD_NOTE_P_59</f>
        <v/>
      </c>
      <c r="K97" s="766"/>
      <c r="AF97" s="50">
        <v>0</v>
      </c>
    </row>
    <row r="98" ht="18.75" hidden="1" customHeight="1">
      <c r="A98" s="786"/>
      <c r="D98" s="125"/>
      <c r="E98" s="764" t="str">
        <f>FHD_NUM_P_60</f>
        <v/>
      </c>
      <c r="F98" s="330" t="str">
        <f>FHD_P_60</f>
        <v/>
      </c>
      <c r="G98" s="157" t="s">
        <v>583</v>
      </c>
      <c r="H98" s="816"/>
      <c r="I98" s="804"/>
      <c r="J98" s="499" t="str">
        <f>FHD_NOTE_P_60</f>
        <v/>
      </c>
      <c r="K98" s="766"/>
      <c r="AF98" s="50">
        <v>0</v>
      </c>
    </row>
    <row r="99" s="53" customFormat="1" ht="18.75" hidden="1" customHeight="1">
      <c r="A99" s="786" t="s">
        <v>587</v>
      </c>
      <c r="C99" s="57"/>
      <c r="D99" s="125"/>
      <c r="E99" s="764" t="str">
        <f>FHD_NUM_P_61</f>
        <v/>
      </c>
      <c r="F99" s="330" t="str">
        <f>FHD_P_61</f>
        <v/>
      </c>
      <c r="G99" s="157" t="s">
        <v>558</v>
      </c>
      <c r="H99" s="819"/>
      <c r="I99" s="820"/>
      <c r="J99" s="499" t="str">
        <f>FHD_NOTE_P_61</f>
        <v/>
      </c>
      <c r="K99" s="766"/>
      <c r="L99" s="57"/>
      <c r="M99" s="57"/>
      <c r="R99" s="57"/>
      <c r="U99" s="763"/>
      <c r="AA99" s="56"/>
      <c r="AB99" s="56"/>
      <c r="AC99" s="56"/>
      <c r="AD99" s="56"/>
      <c r="AE99" s="56"/>
      <c r="AF99" s="53">
        <v>0</v>
      </c>
    </row>
    <row r="100" s="57" customFormat="1" ht="0.75" hidden="1" customHeight="1">
      <c r="A100" s="786"/>
      <c r="D100" s="545"/>
      <c r="E100" s="158" t="str">
        <f>E99&amp;".0"</f>
        <v>.0</v>
      </c>
      <c r="F100" s="821"/>
      <c r="G100" s="822"/>
      <c r="H100" s="809"/>
      <c r="I100" s="809"/>
      <c r="J100" s="823"/>
      <c r="AF100" s="57">
        <v>0</v>
      </c>
    </row>
    <row r="101" ht="15" hidden="1" customHeight="1">
      <c r="A101" s="786"/>
      <c r="D101" s="128"/>
      <c r="E101" s="824"/>
      <c r="F101" s="825" t="s">
        <v>588</v>
      </c>
      <c r="G101" s="798"/>
      <c r="H101" s="799"/>
      <c r="I101" s="799"/>
      <c r="J101" s="826" t="s">
        <v>589</v>
      </c>
      <c r="K101" s="766"/>
      <c r="AF101" s="50">
        <v>0</v>
      </c>
    </row>
    <row r="102" s="53" customFormat="1" ht="18.75" hidden="1" customHeight="1">
      <c r="A102" s="786"/>
      <c r="C102" s="57"/>
      <c r="D102" s="125"/>
      <c r="E102" s="764" t="str">
        <f>FHD_NUM_P_62</f>
        <v/>
      </c>
      <c r="F102" s="330" t="str">
        <f>FHD_P_62</f>
        <v/>
      </c>
      <c r="G102" s="72" t="s">
        <v>558</v>
      </c>
      <c r="H102" s="784"/>
      <c r="I102" s="784"/>
      <c r="J102" s="499" t="str">
        <f>FHD_NOTE_P_62</f>
        <v/>
      </c>
      <c r="K102" s="766"/>
      <c r="L102" s="57"/>
      <c r="M102" s="57"/>
      <c r="R102" s="57"/>
      <c r="U102" s="763"/>
      <c r="AA102" s="56"/>
      <c r="AB102" s="56"/>
      <c r="AC102" s="56"/>
      <c r="AD102" s="56"/>
      <c r="AE102" s="56"/>
      <c r="AF102" s="53">
        <v>0</v>
      </c>
    </row>
    <row r="103" s="53" customFormat="1" ht="18.75" hidden="1" customHeight="1">
      <c r="A103" s="786"/>
      <c r="C103" s="57"/>
      <c r="D103" s="125"/>
      <c r="E103" s="764" t="str">
        <f>FHD_NUM_P_63</f>
        <v/>
      </c>
      <c r="F103" s="330" t="str">
        <f>FHD_P_63</f>
        <v/>
      </c>
      <c r="G103" s="72" t="s">
        <v>585</v>
      </c>
      <c r="H103" s="804"/>
      <c r="I103" s="804"/>
      <c r="J103" s="499" t="str">
        <f>FHD_NOTE_P_63</f>
        <v/>
      </c>
      <c r="K103" s="766"/>
      <c r="L103" s="57"/>
      <c r="M103" s="57"/>
      <c r="R103" s="57"/>
      <c r="U103" s="763"/>
      <c r="AA103" s="56"/>
      <c r="AB103" s="56"/>
      <c r="AC103" s="56"/>
      <c r="AD103" s="56"/>
      <c r="AE103" s="56"/>
      <c r="AF103" s="53">
        <v>0</v>
      </c>
    </row>
    <row r="104" s="53" customFormat="1" ht="18.75" hidden="1" customHeight="1">
      <c r="A104" s="786"/>
      <c r="C104" s="57" t="s">
        <v>590</v>
      </c>
      <c r="D104" s="125"/>
      <c r="E104" s="764" t="str">
        <f>FHD_NUM_P_64</f>
        <v/>
      </c>
      <c r="F104" s="330" t="str">
        <f>FHD_P_64</f>
        <v/>
      </c>
      <c r="G104" s="72" t="s">
        <v>585</v>
      </c>
      <c r="H104" s="774"/>
      <c r="I104" s="774"/>
      <c r="J104" s="499" t="str">
        <f>FHD_NOTE_P_64</f>
        <v/>
      </c>
      <c r="K104" s="766"/>
      <c r="L104" s="57"/>
      <c r="M104" s="57"/>
      <c r="R104" s="57"/>
      <c r="U104" s="763"/>
      <c r="AA104" s="56"/>
      <c r="AB104" s="56"/>
      <c r="AC104" s="56"/>
      <c r="AD104" s="56"/>
      <c r="AE104" s="56"/>
      <c r="AF104" s="53">
        <v>0</v>
      </c>
    </row>
    <row r="105" s="53" customFormat="1" ht="18.75" hidden="1" customHeight="1">
      <c r="A105" s="786"/>
      <c r="C105" s="57"/>
      <c r="D105" s="125"/>
      <c r="E105" s="764" t="str">
        <f>FHD_NUM_P_65</f>
        <v/>
      </c>
      <c r="F105" s="330" t="str">
        <f>FHD_P_65</f>
        <v/>
      </c>
      <c r="G105" s="72" t="s">
        <v>585</v>
      </c>
      <c r="H105" s="804"/>
      <c r="I105" s="804"/>
      <c r="J105" s="499" t="str">
        <f>FHD_NOTE_P_65</f>
        <v/>
      </c>
      <c r="K105" s="766"/>
      <c r="L105" s="57"/>
      <c r="M105" s="57"/>
      <c r="R105" s="57"/>
      <c r="U105" s="763"/>
      <c r="AA105" s="56"/>
      <c r="AB105" s="56"/>
      <c r="AC105" s="56"/>
      <c r="AD105" s="56"/>
      <c r="AE105" s="56"/>
      <c r="AF105" s="53">
        <v>0</v>
      </c>
    </row>
    <row r="106" s="53" customFormat="1" ht="18.75" hidden="1" customHeight="1">
      <c r="A106" s="786"/>
      <c r="C106" s="57"/>
      <c r="D106" s="125"/>
      <c r="E106" s="764" t="str">
        <f>FHD_NUM_P_66</f>
        <v/>
      </c>
      <c r="F106" s="686" t="str">
        <f>FHD_P_66</f>
        <v/>
      </c>
      <c r="G106" s="72" t="s">
        <v>585</v>
      </c>
      <c r="H106" s="804"/>
      <c r="I106" s="804"/>
      <c r="J106" s="499" t="str">
        <f>FHD_NOTE_P_66</f>
        <v/>
      </c>
      <c r="K106" s="766"/>
      <c r="L106" s="57"/>
      <c r="M106" s="57"/>
      <c r="R106" s="57"/>
      <c r="U106" s="763"/>
      <c r="AA106" s="56"/>
      <c r="AB106" s="56"/>
      <c r="AC106" s="56"/>
      <c r="AD106" s="56"/>
      <c r="AE106" s="56"/>
      <c r="AF106" s="53">
        <v>0</v>
      </c>
    </row>
    <row r="107" s="53" customFormat="1" ht="18.75" hidden="1" customHeight="1">
      <c r="A107" s="786"/>
      <c r="C107" s="57"/>
      <c r="D107" s="125"/>
      <c r="E107" s="764" t="str">
        <f>FHD_NUM_P_67</f>
        <v/>
      </c>
      <c r="F107" s="800" t="str">
        <f>FHD_P_67</f>
        <v/>
      </c>
      <c r="G107" s="72" t="s">
        <v>585</v>
      </c>
      <c r="H107" s="804"/>
      <c r="I107" s="804"/>
      <c r="J107" s="499" t="str">
        <f>FHD_NOTE_P_67</f>
        <v/>
      </c>
      <c r="K107" s="766"/>
      <c r="L107" s="57"/>
      <c r="M107" s="57"/>
      <c r="R107" s="57"/>
      <c r="U107" s="763"/>
      <c r="AA107" s="56"/>
      <c r="AB107" s="56"/>
      <c r="AC107" s="56"/>
      <c r="AD107" s="56"/>
      <c r="AE107" s="56"/>
      <c r="AF107" s="53">
        <v>0</v>
      </c>
    </row>
    <row r="108" s="53" customFormat="1" ht="18.75" hidden="1" customHeight="1">
      <c r="A108" s="786"/>
      <c r="C108" s="57"/>
      <c r="D108" s="125"/>
      <c r="E108" s="764" t="str">
        <f>FHD_NUM_P_68</f>
        <v/>
      </c>
      <c r="F108" s="686" t="str">
        <f>FHD_P_68</f>
        <v/>
      </c>
      <c r="G108" s="72" t="s">
        <v>585</v>
      </c>
      <c r="H108" s="804"/>
      <c r="I108" s="804"/>
      <c r="J108" s="499" t="str">
        <f>FHD_NOTE_P_68</f>
        <v/>
      </c>
      <c r="K108" s="766"/>
      <c r="L108" s="57"/>
      <c r="M108" s="57"/>
      <c r="R108" s="57"/>
      <c r="U108" s="763"/>
      <c r="AA108" s="56"/>
      <c r="AB108" s="56"/>
      <c r="AC108" s="56"/>
      <c r="AD108" s="56"/>
      <c r="AE108" s="56"/>
      <c r="AF108" s="53">
        <v>0</v>
      </c>
    </row>
    <row r="109" s="53" customFormat="1" ht="18.75" hidden="1" customHeight="1">
      <c r="A109" s="786"/>
      <c r="C109" s="57"/>
      <c r="D109" s="125"/>
      <c r="E109" s="764" t="str">
        <f>FHD_NUM_P_69</f>
        <v/>
      </c>
      <c r="F109" s="686" t="str">
        <f>FHD_P_69</f>
        <v/>
      </c>
      <c r="G109" s="72" t="s">
        <v>585</v>
      </c>
      <c r="H109" s="804"/>
      <c r="I109" s="804"/>
      <c r="J109" s="499" t="str">
        <f>FHD_NOTE_P_69</f>
        <v/>
      </c>
      <c r="K109" s="766"/>
      <c r="L109" s="57"/>
      <c r="M109" s="57"/>
      <c r="R109" s="57"/>
      <c r="U109" s="763"/>
      <c r="AA109" s="56"/>
      <c r="AB109" s="56"/>
      <c r="AC109" s="56"/>
      <c r="AD109" s="56"/>
      <c r="AE109" s="56"/>
      <c r="AF109" s="53">
        <v>0</v>
      </c>
    </row>
    <row r="110" s="53" customFormat="1" ht="22.5" hidden="1" customHeight="1">
      <c r="A110" s="786"/>
      <c r="C110" s="57"/>
      <c r="D110" s="125"/>
      <c r="E110" s="764" t="str">
        <f>FHD_NUM_P_70</f>
        <v/>
      </c>
      <c r="F110" s="330" t="str">
        <f>FHD_P_70</f>
        <v/>
      </c>
      <c r="G110" s="72" t="s">
        <v>591</v>
      </c>
      <c r="H110" s="784"/>
      <c r="I110" s="784"/>
      <c r="J110" s="499" t="str">
        <f>FHD_NOTE_P_70</f>
        <v/>
      </c>
      <c r="K110" s="766"/>
      <c r="L110" s="57"/>
      <c r="M110" s="57"/>
      <c r="R110" s="57"/>
      <c r="U110" s="763"/>
      <c r="AA110" s="56"/>
      <c r="AB110" s="56"/>
      <c r="AC110" s="56"/>
      <c r="AD110" s="56"/>
      <c r="AE110" s="56"/>
      <c r="AF110" s="53">
        <v>0</v>
      </c>
    </row>
    <row r="111" s="53" customFormat="1" ht="22.5" hidden="1" customHeight="1">
      <c r="A111" s="786"/>
      <c r="C111" s="57"/>
      <c r="D111" s="125"/>
      <c r="E111" s="764" t="str">
        <f>FHD_NUM_P_71</f>
        <v/>
      </c>
      <c r="F111" s="330" t="str">
        <f>FHD_P_71</f>
        <v/>
      </c>
      <c r="G111" s="72" t="s">
        <v>591</v>
      </c>
      <c r="H111" s="784"/>
      <c r="I111" s="784"/>
      <c r="J111" s="499" t="str">
        <f>FHD_NOTE_P_71</f>
        <v/>
      </c>
      <c r="K111" s="766"/>
      <c r="L111" s="57"/>
      <c r="M111" s="57"/>
      <c r="R111" s="57"/>
      <c r="U111" s="763"/>
      <c r="AA111" s="56"/>
      <c r="AB111" s="56"/>
      <c r="AC111" s="56"/>
      <c r="AD111" s="56"/>
      <c r="AE111" s="56"/>
      <c r="AF111" s="53">
        <v>0</v>
      </c>
    </row>
    <row r="112" ht="19.949999999999999" customHeight="1">
      <c r="D112" s="125"/>
      <c r="E112" s="764" t="str">
        <f>FHD_NUM_P_72</f>
        <v>12</v>
      </c>
      <c r="F112" s="330" t="str">
        <f>FHD_P_72</f>
        <v xml:space="preserve">Среднесписочная численность основного производственного персонала</v>
      </c>
      <c r="G112" s="72" t="s">
        <v>592</v>
      </c>
      <c r="H112" s="804"/>
      <c r="I112" s="804"/>
      <c r="J112" s="499" t="str">
        <f>FHD_NOTE_P_72</f>
        <v/>
      </c>
      <c r="K112" s="766"/>
      <c r="AF112" s="50">
        <v>19</v>
      </c>
    </row>
    <row r="113" ht="18.75" hidden="1" customHeight="1">
      <c r="A113" s="802" t="s">
        <v>593</v>
      </c>
      <c r="D113" s="125"/>
      <c r="E113" s="764" t="str">
        <f>FHD_NUM_P_73</f>
        <v/>
      </c>
      <c r="F113" s="330" t="str">
        <f>FHD_P_73</f>
        <v/>
      </c>
      <c r="G113" s="322" t="s">
        <v>592</v>
      </c>
      <c r="H113" s="827"/>
      <c r="I113" s="827"/>
      <c r="J113" s="499" t="str">
        <f>FHD_NOTE_P_73</f>
        <v/>
      </c>
      <c r="K113" s="766"/>
      <c r="AF113" s="50">
        <v>0</v>
      </c>
    </row>
    <row r="114" ht="33.75" customHeight="1">
      <c r="A114" s="802" t="s">
        <v>594</v>
      </c>
      <c r="D114" s="125"/>
      <c r="E114" s="764" t="str">
        <f>FHD_NUM_P_74</f>
        <v>13</v>
      </c>
      <c r="F114" s="330" t="str">
        <f>FHD_P_74</f>
        <v xml:space="preserve">Удельный расход электрической энергии на подачу воды в сеть</v>
      </c>
      <c r="G114" s="72" t="s">
        <v>595</v>
      </c>
      <c r="H114" s="804"/>
      <c r="I114" s="804"/>
      <c r="J114" s="499" t="str">
        <f>FHD_NOTE_P_74</f>
        <v/>
      </c>
      <c r="K114" s="766"/>
      <c r="AF114" s="50">
        <v>0</v>
      </c>
    </row>
    <row r="115" s="50" customFormat="1" ht="18.75" customHeight="1">
      <c r="A115" s="786" t="s">
        <v>596</v>
      </c>
      <c r="B115" s="53"/>
      <c r="C115" s="57"/>
      <c r="D115" s="125"/>
      <c r="E115" s="764" t="str">
        <f>FHD_NUM_P_75</f>
        <v>14</v>
      </c>
      <c r="F115" s="330" t="str">
        <f>FHD_P_75</f>
        <v xml:space="preserve">Расход воды на собственные нужды, в том числе:</v>
      </c>
      <c r="G115" s="72" t="s">
        <v>560</v>
      </c>
      <c r="H115" s="784"/>
      <c r="I115" s="784"/>
      <c r="J115" s="499" t="str">
        <f>FHD_NOTE_P_75</f>
        <v xml:space="preserve">Указывается доля общего расхода воды на собственные нужны от объема отпуска воды потребителям.</v>
      </c>
      <c r="K115" s="766"/>
      <c r="L115" s="57"/>
      <c r="M115" s="57"/>
      <c r="N115" s="53"/>
      <c r="O115" s="53"/>
      <c r="P115" s="53"/>
      <c r="Q115" s="53"/>
      <c r="R115" s="57"/>
      <c r="S115" s="53"/>
      <c r="T115" s="53"/>
      <c r="U115" s="763"/>
      <c r="V115" s="53"/>
      <c r="W115" s="53"/>
      <c r="X115" s="53"/>
      <c r="Y115" s="53"/>
      <c r="Z115" s="53"/>
      <c r="AA115" s="56"/>
      <c r="AB115" s="56"/>
      <c r="AC115" s="56"/>
      <c r="AD115" s="56"/>
      <c r="AE115" s="56"/>
      <c r="AF115" s="50">
        <v>0</v>
      </c>
    </row>
    <row r="116" s="50" customFormat="1" ht="18.75" customHeight="1">
      <c r="A116" s="786"/>
      <c r="B116" s="53"/>
      <c r="C116" s="57"/>
      <c r="D116" s="125"/>
      <c r="E116" s="764" t="str">
        <f>FHD_NUM_P_76</f>
        <v>14.1</v>
      </c>
      <c r="F116" s="330" t="str">
        <f>FHD_P_76</f>
        <v xml:space="preserve">Расход воды на хозяйственно-бытовые нужды</v>
      </c>
      <c r="G116" s="72" t="s">
        <v>560</v>
      </c>
      <c r="H116" s="784"/>
      <c r="I116" s="784"/>
      <c r="J116" s="499" t="str">
        <f>FHD_NOTE_P_76</f>
        <v xml:space="preserve">Указывается доля расхода воды на хозяйственно-бытовые нужны от объема отпуска воды потребителям.</v>
      </c>
      <c r="K116" s="766"/>
      <c r="L116" s="57"/>
      <c r="M116" s="57"/>
      <c r="N116" s="53"/>
      <c r="O116" s="53"/>
      <c r="P116" s="53"/>
      <c r="Q116" s="53"/>
      <c r="R116" s="57"/>
      <c r="S116" s="53"/>
      <c r="T116" s="53"/>
      <c r="U116" s="763"/>
      <c r="V116" s="53"/>
      <c r="W116" s="53"/>
      <c r="X116" s="53"/>
      <c r="Y116" s="53"/>
      <c r="Z116" s="53"/>
      <c r="AA116" s="56"/>
      <c r="AB116" s="56"/>
      <c r="AC116" s="56"/>
      <c r="AD116" s="56"/>
      <c r="AE116" s="56"/>
      <c r="AF116" s="50">
        <v>0</v>
      </c>
    </row>
    <row r="117" s="50" customFormat="1" ht="18.75" customHeight="1">
      <c r="A117" s="786"/>
      <c r="B117" s="53"/>
      <c r="C117" s="57"/>
      <c r="D117" s="125"/>
      <c r="E117" s="764" t="str">
        <f>FHD_NUM_P_77</f>
        <v>15</v>
      </c>
      <c r="F117" s="330" t="str">
        <f>FHD_P_77</f>
        <v xml:space="preserve">Показатель использования производственных объектов (по объему перекачки), в том числе:</v>
      </c>
      <c r="G117" s="72" t="s">
        <v>560</v>
      </c>
      <c r="H117" s="784"/>
      <c r="I117" s="784"/>
      <c r="J117" s="499" t="str">
        <f>FHD_NOTE_P_77</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66"/>
      <c r="L117" s="57"/>
      <c r="M117" s="57"/>
      <c r="N117" s="53"/>
      <c r="O117" s="53"/>
      <c r="P117" s="53"/>
      <c r="Q117" s="53"/>
      <c r="R117" s="57"/>
      <c r="S117" s="53"/>
      <c r="T117" s="53"/>
      <c r="U117" s="763"/>
      <c r="V117" s="53"/>
      <c r="W117" s="53"/>
      <c r="X117" s="53"/>
      <c r="Y117" s="53"/>
      <c r="Z117" s="53"/>
      <c r="AA117" s="56"/>
      <c r="AB117" s="56"/>
      <c r="AC117" s="56"/>
      <c r="AD117" s="56"/>
      <c r="AE117" s="56"/>
      <c r="AF117" s="50">
        <v>0</v>
      </c>
    </row>
    <row r="118" s="57" customFormat="1" ht="0.75" customHeight="1">
      <c r="A118" s="786"/>
      <c r="D118" s="545"/>
      <c r="E118" s="158" t="str">
        <f>E117&amp;".0"</f>
        <v>15.0</v>
      </c>
      <c r="F118" s="828"/>
      <c r="G118" s="599"/>
      <c r="H118" s="809"/>
      <c r="I118" s="809"/>
      <c r="J118" s="823"/>
      <c r="AF118" s="57">
        <v>0</v>
      </c>
    </row>
    <row r="119" s="50" customFormat="1" ht="15" customHeight="1">
      <c r="A119" s="786"/>
      <c r="B119" s="53"/>
      <c r="C119" s="57"/>
      <c r="D119" s="128"/>
      <c r="E119" s="824"/>
      <c r="F119" s="825" t="s">
        <v>597</v>
      </c>
      <c r="G119" s="798"/>
      <c r="H119" s="799"/>
      <c r="I119" s="799"/>
      <c r="J119" s="826" t="s">
        <v>598</v>
      </c>
      <c r="K119" s="766"/>
      <c r="L119" s="57"/>
      <c r="M119" s="57"/>
      <c r="N119" s="53"/>
      <c r="O119" s="53"/>
      <c r="P119" s="53"/>
      <c r="Q119" s="53"/>
      <c r="R119" s="57"/>
      <c r="S119" s="53"/>
      <c r="T119" s="53"/>
      <c r="U119" s="763"/>
      <c r="V119" s="53"/>
      <c r="W119" s="53"/>
      <c r="X119" s="53"/>
      <c r="Y119" s="53"/>
      <c r="Z119" s="53"/>
      <c r="AA119" s="56"/>
      <c r="AB119" s="56"/>
      <c r="AC119" s="56"/>
      <c r="AD119" s="56"/>
      <c r="AE119" s="56"/>
      <c r="AF119" s="50">
        <v>0</v>
      </c>
    </row>
    <row r="120" ht="22.5" hidden="1" customHeight="1">
      <c r="A120" s="786" t="s">
        <v>599</v>
      </c>
      <c r="D120" s="125"/>
      <c r="E120" s="764" t="str">
        <f>FHD_NUM_P_78</f>
        <v/>
      </c>
      <c r="F120" s="330" t="str">
        <f>FHD_P_78</f>
        <v/>
      </c>
      <c r="G120" s="72" t="s">
        <v>562</v>
      </c>
      <c r="H120" s="804"/>
      <c r="I120" s="804"/>
      <c r="J120" s="499" t="str">
        <f>FHD_NOTE_P_78</f>
        <v/>
      </c>
      <c r="K120" s="766"/>
      <c r="AF120" s="50">
        <v>0</v>
      </c>
    </row>
    <row r="121" s="57" customFormat="1" ht="0.75" hidden="1" customHeight="1">
      <c r="A121" s="786"/>
      <c r="D121" s="545"/>
      <c r="E121" s="158" t="str">
        <f>E120&amp;".0"</f>
        <v>.0</v>
      </c>
      <c r="F121" s="828"/>
      <c r="G121" s="599"/>
      <c r="H121" s="809"/>
      <c r="I121" s="809"/>
      <c r="J121" s="823"/>
      <c r="AF121" s="57">
        <v>0</v>
      </c>
    </row>
    <row r="122" ht="15" hidden="1" customHeight="1">
      <c r="A122" s="786"/>
      <c r="D122" s="128"/>
      <c r="E122" s="797"/>
      <c r="F122" s="172" t="s">
        <v>588</v>
      </c>
      <c r="G122" s="798"/>
      <c r="H122" s="799"/>
      <c r="I122" s="799"/>
      <c r="J122" s="826" t="s">
        <v>600</v>
      </c>
      <c r="K122" s="766"/>
      <c r="AF122" s="50">
        <v>0</v>
      </c>
    </row>
    <row r="123" ht="22.5" hidden="1" customHeight="1">
      <c r="A123" s="786"/>
      <c r="D123" s="125"/>
      <c r="E123" s="764" t="str">
        <f>FHD_NUM_P_79</f>
        <v/>
      </c>
      <c r="F123" s="330" t="str">
        <f>FHD_P_79</f>
        <v/>
      </c>
      <c r="G123" s="157" t="s">
        <v>564</v>
      </c>
      <c r="H123" s="804"/>
      <c r="I123" s="804"/>
      <c r="J123" s="499" t="str">
        <f>FHD_NOTE_P_79</f>
        <v/>
      </c>
      <c r="K123" s="766"/>
      <c r="AF123" s="50">
        <v>0</v>
      </c>
    </row>
    <row r="124" s="57" customFormat="1" ht="0.75" hidden="1" customHeight="1">
      <c r="A124" s="786"/>
      <c r="D124" s="545"/>
      <c r="E124" s="158" t="str">
        <f>E123&amp;".0"</f>
        <v>.0</v>
      </c>
      <c r="F124" s="829"/>
      <c r="G124" s="599"/>
      <c r="H124" s="809"/>
      <c r="I124" s="809"/>
      <c r="J124" s="823"/>
      <c r="AF124" s="57">
        <v>0</v>
      </c>
    </row>
    <row r="125" ht="15" hidden="1" customHeight="1">
      <c r="A125" s="786"/>
      <c r="D125" s="128"/>
      <c r="E125" s="797"/>
      <c r="F125" s="172" t="s">
        <v>588</v>
      </c>
      <c r="G125" s="798"/>
      <c r="H125" s="799"/>
      <c r="I125" s="799"/>
      <c r="J125" s="826" t="s">
        <v>601</v>
      </c>
      <c r="K125" s="766"/>
      <c r="AF125" s="50">
        <v>0</v>
      </c>
    </row>
    <row r="126" ht="22.5" hidden="1" customHeight="1">
      <c r="A126" s="786"/>
      <c r="D126" s="125"/>
      <c r="E126" s="764" t="str">
        <f>FHD_NUM_P_80</f>
        <v/>
      </c>
      <c r="F126" s="330" t="str">
        <f>FHD_P_80</f>
        <v/>
      </c>
      <c r="G126" s="157" t="s">
        <v>602</v>
      </c>
      <c r="H126" s="784"/>
      <c r="I126" s="784"/>
      <c r="J126" s="499" t="str">
        <f>FHD_NOTE_P_80</f>
        <v/>
      </c>
      <c r="K126" s="766"/>
      <c r="AF126" s="50">
        <v>0</v>
      </c>
    </row>
    <row r="127" ht="18.75" hidden="1" customHeight="1">
      <c r="A127" s="786"/>
      <c r="D127" s="125"/>
      <c r="E127" s="764" t="str">
        <f>FHD_NUM_P_81</f>
        <v/>
      </c>
      <c r="F127" s="330" t="str">
        <f>FHD_P_81</f>
        <v/>
      </c>
      <c r="G127" s="157" t="s">
        <v>603</v>
      </c>
      <c r="H127" s="784"/>
      <c r="I127" s="784"/>
      <c r="J127" s="499" t="str">
        <f>FHD_NOTE_P_81</f>
        <v/>
      </c>
      <c r="K127" s="766"/>
      <c r="AF127" s="50">
        <v>0</v>
      </c>
    </row>
    <row r="128" ht="18.75" hidden="1" customHeight="1">
      <c r="A128" s="786"/>
      <c r="C128" s="57" t="s">
        <v>590</v>
      </c>
      <c r="D128" s="125"/>
      <c r="E128" s="764" t="str">
        <f>FHD_NUM_P_82</f>
        <v/>
      </c>
      <c r="F128" s="330" t="str">
        <f>FHD_P_82</f>
        <v/>
      </c>
      <c r="G128" s="157" t="s">
        <v>308</v>
      </c>
      <c r="H128" s="815"/>
      <c r="I128" s="815"/>
      <c r="J128" s="499" t="str">
        <f>FHD_NOTE_P_82</f>
        <v/>
      </c>
      <c r="K128" s="766"/>
      <c r="AF128" s="50">
        <v>0</v>
      </c>
    </row>
    <row r="129" ht="18.75" hidden="1" customHeight="1">
      <c r="A129" s="786"/>
      <c r="C129" s="57" t="s">
        <v>590</v>
      </c>
      <c r="D129" s="125"/>
      <c r="E129" s="764" t="str">
        <f>FHD_NUM_P_83</f>
        <v/>
      </c>
      <c r="F129" s="686" t="str">
        <f>FHD_P_83</f>
        <v/>
      </c>
      <c r="G129" s="157" t="s">
        <v>308</v>
      </c>
      <c r="H129" s="815"/>
      <c r="I129" s="815"/>
      <c r="J129" s="499" t="str">
        <f>FHD_NOTE_P_83</f>
        <v/>
      </c>
      <c r="K129" s="766"/>
      <c r="AF129" s="50">
        <v>0</v>
      </c>
    </row>
    <row r="130" ht="18.75" hidden="1" customHeight="1">
      <c r="A130" s="786"/>
      <c r="C130" s="57" t="s">
        <v>590</v>
      </c>
      <c r="D130" s="125"/>
      <c r="E130" s="764" t="str">
        <f>FHD_NUM_P_84</f>
        <v/>
      </c>
      <c r="F130" s="686" t="str">
        <f>FHD_P_84</f>
        <v/>
      </c>
      <c r="G130" s="157" t="s">
        <v>308</v>
      </c>
      <c r="H130" s="815"/>
      <c r="I130" s="815"/>
      <c r="J130" s="499" t="str">
        <f>FHD_NOTE_P_84</f>
        <v/>
      </c>
      <c r="K130" s="766"/>
      <c r="AF130" s="50">
        <v>0</v>
      </c>
    </row>
    <row r="131" ht="11.5" customHeight="1">
      <c r="D131" s="125"/>
      <c r="AF131" s="50">
        <v>11</v>
      </c>
    </row>
    <row r="132" ht="13.5" customHeight="1">
      <c r="D132" s="125"/>
      <c r="E132" s="490"/>
      <c r="F132" s="409"/>
      <c r="G132" s="409"/>
      <c r="H132" s="409"/>
      <c r="I132" s="588"/>
      <c r="J132" s="86"/>
      <c r="AF132" s="50">
        <v>13</v>
      </c>
    </row>
    <row r="133" s="131" customFormat="1" ht="11.5" customHeight="1">
      <c r="A133" s="762"/>
      <c r="B133" s="57"/>
      <c r="C133" s="57"/>
      <c r="D133" s="131"/>
      <c r="F133" s="152"/>
      <c r="G133" s="50"/>
      <c r="H133" s="50"/>
      <c r="I133" s="50"/>
      <c r="K133" s="53"/>
      <c r="L133" s="57"/>
      <c r="M133" s="57"/>
      <c r="N133" s="53"/>
      <c r="O133" s="53"/>
      <c r="P133" s="53"/>
      <c r="Q133" s="53"/>
      <c r="R133" s="57"/>
      <c r="S133" s="53"/>
      <c r="T133" s="53"/>
      <c r="U133" s="763"/>
      <c r="V133" s="53"/>
      <c r="W133" s="53"/>
      <c r="X133" s="53"/>
      <c r="Y133" s="53"/>
      <c r="Z133" s="53"/>
      <c r="AA133" s="56"/>
      <c r="AB133" s="54"/>
      <c r="AC133" s="54"/>
      <c r="AD133" s="54"/>
      <c r="AE133" s="54"/>
      <c r="AF133" s="131">
        <v>11</v>
      </c>
    </row>
    <row r="134" s="131" customFormat="1" ht="11.5" customHeight="1">
      <c r="A134" s="762"/>
      <c r="B134" s="57"/>
      <c r="C134" s="57"/>
      <c r="D134" s="131"/>
      <c r="K134" s="53"/>
      <c r="L134" s="57"/>
      <c r="M134" s="57"/>
      <c r="N134" s="53"/>
      <c r="O134" s="53"/>
      <c r="P134" s="53"/>
      <c r="Q134" s="53"/>
      <c r="R134" s="57"/>
      <c r="S134" s="53"/>
      <c r="T134" s="53"/>
      <c r="U134" s="763"/>
      <c r="V134" s="53"/>
      <c r="W134" s="53"/>
      <c r="X134" s="53"/>
      <c r="Y134" s="53"/>
      <c r="Z134" s="53"/>
      <c r="AA134" s="56"/>
      <c r="AB134" s="54"/>
      <c r="AC134" s="54"/>
      <c r="AD134" s="54"/>
      <c r="AE134" s="54"/>
      <c r="AF134" s="131">
        <v>11</v>
      </c>
    </row>
    <row r="135" s="131" customFormat="1" ht="11.5" customHeight="1">
      <c r="A135" s="762"/>
      <c r="B135" s="57"/>
      <c r="C135" s="57"/>
      <c r="D135" s="131"/>
      <c r="K135" s="53"/>
      <c r="L135" s="57"/>
      <c r="M135" s="57"/>
      <c r="N135" s="53"/>
      <c r="O135" s="53"/>
      <c r="P135" s="53"/>
      <c r="Q135" s="53"/>
      <c r="R135" s="57"/>
      <c r="S135" s="53"/>
      <c r="T135" s="53"/>
      <c r="U135" s="763"/>
      <c r="V135" s="53"/>
      <c r="W135" s="53"/>
      <c r="X135" s="53"/>
      <c r="Y135" s="53"/>
      <c r="Z135" s="53"/>
      <c r="AA135" s="56"/>
      <c r="AB135" s="54"/>
      <c r="AC135" s="54"/>
      <c r="AD135" s="54"/>
      <c r="AE135" s="54"/>
      <c r="AF135" s="131">
        <v>11</v>
      </c>
    </row>
    <row r="136" s="131" customFormat="1" ht="11.5" customHeight="1">
      <c r="A136" s="762"/>
      <c r="B136" s="57"/>
      <c r="C136" s="57"/>
      <c r="D136" s="131"/>
      <c r="H136" s="54" t="str">
        <f>IF(H30-H31&lt;&gt;H72,"WARNING","")</f>
        <v/>
      </c>
      <c r="I136" s="54" t="str">
        <f>IF(I30-I31&lt;&gt;I72,"WARNING","")</f>
        <v/>
      </c>
      <c r="K136" s="53"/>
      <c r="L136" s="57"/>
      <c r="M136" s="57"/>
      <c r="N136" s="53"/>
      <c r="O136" s="53"/>
      <c r="P136" s="53"/>
      <c r="Q136" s="53"/>
      <c r="R136" s="57"/>
      <c r="S136" s="53"/>
      <c r="T136" s="53"/>
      <c r="U136" s="763"/>
      <c r="V136" s="53"/>
      <c r="W136" s="53"/>
      <c r="X136" s="53"/>
      <c r="Y136" s="53"/>
      <c r="Z136" s="53"/>
      <c r="AA136" s="56"/>
      <c r="AB136" s="54"/>
      <c r="AC136" s="54"/>
      <c r="AD136" s="54"/>
      <c r="AE136" s="54"/>
      <c r="AF136" s="131">
        <v>11</v>
      </c>
    </row>
    <row r="137" s="131" customFormat="1" ht="11.5" customHeight="1">
      <c r="A137" s="762"/>
      <c r="B137" s="57"/>
      <c r="C137" s="57"/>
      <c r="D137" s="131"/>
      <c r="K137" s="53"/>
      <c r="L137" s="57"/>
      <c r="M137" s="57"/>
      <c r="N137" s="53"/>
      <c r="O137" s="53"/>
      <c r="P137" s="53"/>
      <c r="Q137" s="53"/>
      <c r="R137" s="57"/>
      <c r="S137" s="53"/>
      <c r="T137" s="53"/>
      <c r="U137" s="763"/>
      <c r="V137" s="53"/>
      <c r="W137" s="53"/>
      <c r="X137" s="53"/>
      <c r="Y137" s="53"/>
      <c r="Z137" s="53"/>
      <c r="AA137" s="56"/>
      <c r="AB137" s="54"/>
      <c r="AC137" s="54"/>
      <c r="AD137" s="54"/>
      <c r="AE137" s="54"/>
      <c r="AF137" s="131">
        <v>11</v>
      </c>
    </row>
    <row r="138" s="131" customFormat="1" ht="11.5" customHeight="1">
      <c r="A138" s="762"/>
      <c r="B138" s="57"/>
      <c r="C138" s="57"/>
      <c r="D138" s="131"/>
      <c r="K138" s="53"/>
      <c r="L138" s="57"/>
      <c r="M138" s="57"/>
      <c r="N138" s="53"/>
      <c r="O138" s="53"/>
      <c r="P138" s="53"/>
      <c r="Q138" s="53"/>
      <c r="R138" s="57"/>
      <c r="S138" s="53"/>
      <c r="T138" s="53"/>
      <c r="U138" s="763"/>
      <c r="V138" s="53"/>
      <c r="W138" s="53"/>
      <c r="X138" s="53"/>
      <c r="Y138" s="53"/>
      <c r="Z138" s="53"/>
      <c r="AA138" s="56"/>
      <c r="AB138" s="54"/>
      <c r="AC138" s="54"/>
      <c r="AD138" s="54"/>
      <c r="AE138" s="54"/>
      <c r="AF138" s="131">
        <v>11</v>
      </c>
    </row>
    <row r="139" s="131" customFormat="1" ht="11.5" customHeight="1">
      <c r="A139" s="762"/>
      <c r="B139" s="57"/>
      <c r="C139" s="57"/>
      <c r="D139" s="131"/>
      <c r="K139" s="53"/>
      <c r="L139" s="57"/>
      <c r="M139" s="57"/>
      <c r="N139" s="53"/>
      <c r="O139" s="53"/>
      <c r="P139" s="53"/>
      <c r="Q139" s="53"/>
      <c r="R139" s="57"/>
      <c r="S139" s="53"/>
      <c r="T139" s="53"/>
      <c r="U139" s="763"/>
      <c r="V139" s="53"/>
      <c r="W139" s="53"/>
      <c r="X139" s="53"/>
      <c r="Y139" s="53"/>
      <c r="Z139" s="53"/>
      <c r="AA139" s="56"/>
      <c r="AB139" s="54"/>
      <c r="AC139" s="54"/>
      <c r="AD139" s="54"/>
      <c r="AE139" s="54"/>
      <c r="AF139" s="131">
        <v>11</v>
      </c>
    </row>
    <row r="140" s="131" customFormat="1" ht="11.5" customHeight="1">
      <c r="A140" s="762"/>
      <c r="B140" s="57"/>
      <c r="C140" s="57"/>
      <c r="D140" s="131"/>
      <c r="K140" s="53"/>
      <c r="L140" s="57"/>
      <c r="M140" s="57"/>
      <c r="N140" s="53"/>
      <c r="O140" s="53"/>
      <c r="P140" s="53"/>
      <c r="Q140" s="53"/>
      <c r="R140" s="57"/>
      <c r="S140" s="53"/>
      <c r="T140" s="53"/>
      <c r="U140" s="763"/>
      <c r="V140" s="53"/>
      <c r="W140" s="53"/>
      <c r="X140" s="53"/>
      <c r="Y140" s="53"/>
      <c r="Z140" s="53"/>
      <c r="AA140" s="56"/>
      <c r="AB140" s="54"/>
      <c r="AC140" s="54"/>
      <c r="AD140" s="54"/>
      <c r="AE140" s="54"/>
      <c r="AF140" s="131">
        <v>11</v>
      </c>
    </row>
    <row r="141" s="131" customFormat="1" ht="11.5" customHeight="1">
      <c r="A141" s="762"/>
      <c r="B141" s="57"/>
      <c r="C141" s="57"/>
      <c r="D141" s="131"/>
      <c r="K141" s="53"/>
      <c r="L141" s="57"/>
      <c r="M141" s="57"/>
      <c r="N141" s="53"/>
      <c r="O141" s="53"/>
      <c r="P141" s="53"/>
      <c r="Q141" s="53"/>
      <c r="R141" s="57"/>
      <c r="S141" s="53"/>
      <c r="T141" s="53"/>
      <c r="U141" s="763"/>
      <c r="V141" s="53"/>
      <c r="W141" s="53"/>
      <c r="X141" s="53"/>
      <c r="Y141" s="53"/>
      <c r="Z141" s="53"/>
      <c r="AA141" s="56"/>
      <c r="AB141" s="54"/>
      <c r="AC141" s="54"/>
      <c r="AD141" s="54"/>
      <c r="AE141" s="54"/>
      <c r="AF141" s="131">
        <v>11</v>
      </c>
    </row>
    <row r="142" s="131" customFormat="1" ht="11.5" customHeight="1">
      <c r="A142" s="762"/>
      <c r="B142" s="57"/>
      <c r="C142" s="57"/>
      <c r="D142" s="131"/>
      <c r="K142" s="53"/>
      <c r="L142" s="57"/>
      <c r="M142" s="57"/>
      <c r="N142" s="53"/>
      <c r="O142" s="53"/>
      <c r="P142" s="53"/>
      <c r="Q142" s="53"/>
      <c r="R142" s="57"/>
      <c r="S142" s="53"/>
      <c r="T142" s="53"/>
      <c r="U142" s="763"/>
      <c r="V142" s="53"/>
      <c r="W142" s="53"/>
      <c r="X142" s="53"/>
      <c r="Y142" s="53"/>
      <c r="Z142" s="53"/>
      <c r="AA142" s="56"/>
      <c r="AB142" s="54"/>
      <c r="AC142" s="54"/>
      <c r="AD142" s="54"/>
      <c r="AE142" s="54"/>
      <c r="AF142" s="131">
        <v>11</v>
      </c>
    </row>
    <row r="143" s="131" customFormat="1" ht="11.5" customHeight="1">
      <c r="A143" s="762"/>
      <c r="B143" s="57"/>
      <c r="C143" s="57"/>
      <c r="D143" s="131"/>
      <c r="K143" s="53"/>
      <c r="L143" s="57"/>
      <c r="M143" s="57"/>
      <c r="N143" s="53"/>
      <c r="O143" s="53"/>
      <c r="P143" s="53"/>
      <c r="Q143" s="53"/>
      <c r="R143" s="57"/>
      <c r="S143" s="53"/>
      <c r="T143" s="53"/>
      <c r="U143" s="763"/>
      <c r="V143" s="53"/>
      <c r="W143" s="53"/>
      <c r="X143" s="53"/>
      <c r="Y143" s="53"/>
      <c r="Z143" s="53"/>
      <c r="AA143" s="56"/>
      <c r="AB143" s="54"/>
      <c r="AC143" s="54"/>
      <c r="AD143" s="54"/>
      <c r="AE143" s="54"/>
      <c r="AF143" s="131">
        <v>11</v>
      </c>
    </row>
    <row r="144" s="131" customFormat="1" ht="11.5" customHeight="1">
      <c r="A144" s="762"/>
      <c r="B144" s="57"/>
      <c r="C144" s="57"/>
      <c r="D144" s="131"/>
      <c r="K144" s="53"/>
      <c r="L144" s="57"/>
      <c r="M144" s="57"/>
      <c r="N144" s="53"/>
      <c r="O144" s="53"/>
      <c r="P144" s="53"/>
      <c r="Q144" s="53"/>
      <c r="R144" s="57"/>
      <c r="S144" s="53"/>
      <c r="T144" s="53"/>
      <c r="U144" s="763"/>
      <c r="V144" s="53"/>
      <c r="W144" s="53"/>
      <c r="X144" s="53"/>
      <c r="Y144" s="53"/>
      <c r="Z144" s="53"/>
      <c r="AA144" s="56"/>
      <c r="AB144" s="54"/>
      <c r="AC144" s="54"/>
      <c r="AD144" s="54"/>
      <c r="AE144" s="54"/>
      <c r="AF144" s="131">
        <v>11</v>
      </c>
    </row>
    <row r="145" s="131" customFormat="1" ht="11.5" customHeight="1">
      <c r="A145" s="762"/>
      <c r="B145" s="57"/>
      <c r="C145" s="57"/>
      <c r="D145" s="131"/>
      <c r="K145" s="53"/>
      <c r="L145" s="57"/>
      <c r="M145" s="57"/>
      <c r="N145" s="53"/>
      <c r="O145" s="53"/>
      <c r="P145" s="53"/>
      <c r="Q145" s="53"/>
      <c r="R145" s="57"/>
      <c r="S145" s="53"/>
      <c r="T145" s="53"/>
      <c r="U145" s="763"/>
      <c r="V145" s="53"/>
      <c r="W145" s="53"/>
      <c r="X145" s="53"/>
      <c r="Y145" s="53"/>
      <c r="Z145" s="53"/>
      <c r="AA145" s="56"/>
      <c r="AB145" s="54"/>
      <c r="AC145" s="54"/>
      <c r="AD145" s="54"/>
      <c r="AE145" s="54"/>
      <c r="AF145" s="131">
        <v>11</v>
      </c>
    </row>
    <row r="146" s="131" customFormat="1" ht="11.5" customHeight="1">
      <c r="A146" s="762"/>
      <c r="B146" s="57"/>
      <c r="C146" s="57"/>
      <c r="D146" s="131"/>
      <c r="K146" s="53"/>
      <c r="L146" s="57"/>
      <c r="M146" s="57"/>
      <c r="N146" s="53"/>
      <c r="O146" s="53"/>
      <c r="P146" s="53"/>
      <c r="Q146" s="53"/>
      <c r="R146" s="57"/>
      <c r="S146" s="53"/>
      <c r="T146" s="53"/>
      <c r="U146" s="763"/>
      <c r="V146" s="53"/>
      <c r="W146" s="53"/>
      <c r="X146" s="53"/>
      <c r="Y146" s="53"/>
      <c r="Z146" s="53"/>
      <c r="AA146" s="56"/>
      <c r="AB146" s="54"/>
      <c r="AC146" s="54"/>
      <c r="AD146" s="54"/>
      <c r="AE146" s="54"/>
      <c r="AF146" s="131">
        <v>11</v>
      </c>
    </row>
    <row r="147" s="131" customFormat="1" ht="11.5" customHeight="1">
      <c r="A147" s="762"/>
      <c r="B147" s="57"/>
      <c r="C147" s="57"/>
      <c r="D147" s="131"/>
      <c r="K147" s="53"/>
      <c r="L147" s="57"/>
      <c r="M147" s="57"/>
      <c r="N147" s="53"/>
      <c r="O147" s="53"/>
      <c r="P147" s="53"/>
      <c r="Q147" s="53"/>
      <c r="R147" s="57"/>
      <c r="S147" s="53"/>
      <c r="T147" s="53"/>
      <c r="U147" s="763"/>
      <c r="V147" s="53"/>
      <c r="W147" s="53"/>
      <c r="X147" s="53"/>
      <c r="Y147" s="53"/>
      <c r="Z147" s="53"/>
      <c r="AA147" s="56"/>
      <c r="AB147" s="54"/>
      <c r="AC147" s="54"/>
      <c r="AD147" s="54"/>
      <c r="AE147" s="54"/>
      <c r="AF147" s="131">
        <v>11</v>
      </c>
    </row>
    <row r="148" s="131" customFormat="1" ht="11.5" customHeight="1">
      <c r="A148" s="762"/>
      <c r="B148" s="57"/>
      <c r="C148" s="57"/>
      <c r="D148" s="131"/>
      <c r="K148" s="53"/>
      <c r="L148" s="57"/>
      <c r="M148" s="57"/>
      <c r="N148" s="53"/>
      <c r="O148" s="53"/>
      <c r="P148" s="53"/>
      <c r="Q148" s="53"/>
      <c r="R148" s="57"/>
      <c r="S148" s="53"/>
      <c r="T148" s="53"/>
      <c r="U148" s="763"/>
      <c r="V148" s="53"/>
      <c r="W148" s="53"/>
      <c r="X148" s="53"/>
      <c r="Y148" s="53"/>
      <c r="Z148" s="53"/>
      <c r="AA148" s="56"/>
      <c r="AB148" s="54"/>
      <c r="AC148" s="54"/>
      <c r="AD148" s="54"/>
      <c r="AE148" s="54"/>
      <c r="AF148" s="131">
        <v>11</v>
      </c>
    </row>
    <row r="149" s="131" customFormat="1" ht="11.5" customHeight="1">
      <c r="A149" s="762"/>
      <c r="B149" s="57"/>
      <c r="C149" s="57"/>
      <c r="D149" s="131"/>
      <c r="K149" s="53"/>
      <c r="L149" s="57"/>
      <c r="M149" s="57"/>
      <c r="N149" s="53"/>
      <c r="O149" s="53"/>
      <c r="P149" s="53"/>
      <c r="Q149" s="53"/>
      <c r="R149" s="57"/>
      <c r="S149" s="53"/>
      <c r="T149" s="53"/>
      <c r="U149" s="763"/>
      <c r="V149" s="53"/>
      <c r="W149" s="53"/>
      <c r="X149" s="53"/>
      <c r="Y149" s="53"/>
      <c r="Z149" s="53"/>
      <c r="AA149" s="56"/>
      <c r="AB149" s="54"/>
      <c r="AC149" s="54"/>
      <c r="AD149" s="54"/>
      <c r="AE149" s="54"/>
      <c r="AF149" s="131">
        <v>11</v>
      </c>
    </row>
    <row r="150" s="131" customFormat="1" ht="11.5" customHeight="1">
      <c r="A150" s="762"/>
      <c r="B150" s="57"/>
      <c r="C150" s="57"/>
      <c r="D150" s="131"/>
      <c r="K150" s="53"/>
      <c r="L150" s="57"/>
      <c r="M150" s="57"/>
      <c r="N150" s="53"/>
      <c r="O150" s="53"/>
      <c r="P150" s="53"/>
      <c r="Q150" s="53"/>
      <c r="R150" s="57"/>
      <c r="S150" s="53"/>
      <c r="T150" s="53"/>
      <c r="U150" s="763"/>
      <c r="V150" s="53"/>
      <c r="W150" s="53"/>
      <c r="X150" s="53"/>
      <c r="Y150" s="53"/>
      <c r="Z150" s="53"/>
      <c r="AA150" s="56"/>
      <c r="AB150" s="54"/>
      <c r="AC150" s="54"/>
      <c r="AD150" s="54"/>
      <c r="AE150" s="54"/>
      <c r="AF150" s="131">
        <v>11</v>
      </c>
    </row>
    <row r="151" s="131" customFormat="1" ht="11.5" customHeight="1">
      <c r="A151" s="762"/>
      <c r="B151" s="57"/>
      <c r="C151" s="57"/>
      <c r="D151" s="131"/>
      <c r="K151" s="53"/>
      <c r="L151" s="57"/>
      <c r="M151" s="57"/>
      <c r="N151" s="53"/>
      <c r="O151" s="53"/>
      <c r="P151" s="53"/>
      <c r="Q151" s="53"/>
      <c r="R151" s="57"/>
      <c r="S151" s="53"/>
      <c r="T151" s="53"/>
      <c r="U151" s="763"/>
      <c r="V151" s="53"/>
      <c r="W151" s="53"/>
      <c r="X151" s="53"/>
      <c r="Y151" s="53"/>
      <c r="Z151" s="53"/>
      <c r="AA151" s="56"/>
      <c r="AB151" s="54"/>
      <c r="AC151" s="54"/>
      <c r="AD151" s="54"/>
      <c r="AE151" s="54"/>
      <c r="AF151" s="131">
        <v>11</v>
      </c>
    </row>
    <row r="152" s="131" customFormat="1" ht="11.5" customHeight="1">
      <c r="A152" s="762"/>
      <c r="B152" s="57"/>
      <c r="C152" s="57"/>
      <c r="D152" s="131"/>
      <c r="K152" s="53"/>
      <c r="L152" s="57"/>
      <c r="M152" s="57"/>
      <c r="N152" s="53"/>
      <c r="O152" s="53"/>
      <c r="P152" s="53"/>
      <c r="Q152" s="53"/>
      <c r="R152" s="57"/>
      <c r="S152" s="53"/>
      <c r="T152" s="53"/>
      <c r="U152" s="763"/>
      <c r="V152" s="53"/>
      <c r="W152" s="53"/>
      <c r="X152" s="53"/>
      <c r="Y152" s="53"/>
      <c r="Z152" s="53"/>
      <c r="AA152" s="56"/>
      <c r="AB152" s="54"/>
      <c r="AC152" s="54"/>
      <c r="AD152" s="54"/>
      <c r="AE152" s="54"/>
      <c r="AF152" s="131">
        <v>11</v>
      </c>
    </row>
    <row r="153" s="131" customFormat="1" ht="11.5" customHeight="1">
      <c r="A153" s="762"/>
      <c r="B153" s="57"/>
      <c r="C153" s="57"/>
      <c r="D153" s="131"/>
      <c r="K153" s="53"/>
      <c r="L153" s="57"/>
      <c r="M153" s="57"/>
      <c r="N153" s="53"/>
      <c r="O153" s="53"/>
      <c r="P153" s="53"/>
      <c r="Q153" s="53"/>
      <c r="R153" s="57"/>
      <c r="S153" s="53"/>
      <c r="T153" s="53"/>
      <c r="U153" s="763"/>
      <c r="V153" s="53"/>
      <c r="W153" s="53"/>
      <c r="X153" s="53"/>
      <c r="Y153" s="53"/>
      <c r="Z153" s="53"/>
      <c r="AA153" s="56"/>
      <c r="AB153" s="54"/>
      <c r="AC153" s="54"/>
      <c r="AD153" s="54"/>
      <c r="AE153" s="54"/>
      <c r="AF153" s="131">
        <v>11</v>
      </c>
    </row>
    <row r="154" s="131" customFormat="1" ht="11.5" customHeight="1">
      <c r="A154" s="762"/>
      <c r="B154" s="57"/>
      <c r="C154" s="57"/>
      <c r="D154" s="131"/>
      <c r="K154" s="53"/>
      <c r="L154" s="57"/>
      <c r="M154" s="57"/>
      <c r="N154" s="53"/>
      <c r="O154" s="53"/>
      <c r="P154" s="53"/>
      <c r="Q154" s="53"/>
      <c r="R154" s="57"/>
      <c r="S154" s="53"/>
      <c r="T154" s="53"/>
      <c r="U154" s="763"/>
      <c r="V154" s="53"/>
      <c r="W154" s="53"/>
      <c r="X154" s="53"/>
      <c r="Y154" s="53"/>
      <c r="Z154" s="53"/>
      <c r="AA154" s="56"/>
      <c r="AB154" s="54"/>
      <c r="AC154" s="54"/>
      <c r="AD154" s="54"/>
      <c r="AE154" s="54"/>
      <c r="AF154" s="131">
        <v>11</v>
      </c>
    </row>
    <row r="155" s="131" customFormat="1" ht="11.5" customHeight="1">
      <c r="A155" s="762"/>
      <c r="B155" s="57"/>
      <c r="C155" s="57"/>
      <c r="D155" s="131"/>
      <c r="K155" s="53"/>
      <c r="L155" s="57"/>
      <c r="M155" s="57"/>
      <c r="N155" s="53"/>
      <c r="O155" s="53"/>
      <c r="P155" s="53"/>
      <c r="Q155" s="53"/>
      <c r="R155" s="57"/>
      <c r="S155" s="53"/>
      <c r="T155" s="53"/>
      <c r="U155" s="763"/>
      <c r="V155" s="53"/>
      <c r="W155" s="53"/>
      <c r="X155" s="53"/>
      <c r="Y155" s="53"/>
      <c r="Z155" s="53"/>
      <c r="AA155" s="56"/>
      <c r="AB155" s="54"/>
      <c r="AC155" s="54"/>
      <c r="AD155" s="54"/>
      <c r="AE155" s="54"/>
      <c r="AF155" s="131">
        <v>11</v>
      </c>
    </row>
    <row r="156" s="131" customFormat="1" ht="11.5" customHeight="1">
      <c r="A156" s="762"/>
      <c r="B156" s="57"/>
      <c r="C156" s="57"/>
      <c r="D156" s="131"/>
      <c r="K156" s="53"/>
      <c r="L156" s="57"/>
      <c r="M156" s="57"/>
      <c r="N156" s="53"/>
      <c r="O156" s="53"/>
      <c r="P156" s="53"/>
      <c r="Q156" s="53"/>
      <c r="R156" s="57"/>
      <c r="S156" s="53"/>
      <c r="T156" s="53"/>
      <c r="U156" s="763"/>
      <c r="V156" s="53"/>
      <c r="W156" s="53"/>
      <c r="X156" s="53"/>
      <c r="Y156" s="53"/>
      <c r="Z156" s="53"/>
      <c r="AA156" s="56"/>
      <c r="AB156" s="54"/>
      <c r="AC156" s="54"/>
      <c r="AD156" s="54"/>
      <c r="AE156" s="54"/>
      <c r="AF156" s="131">
        <v>11</v>
      </c>
    </row>
    <row r="157" s="131" customFormat="1" ht="11.5" customHeight="1">
      <c r="A157" s="762"/>
      <c r="B157" s="57"/>
      <c r="C157" s="57"/>
      <c r="D157" s="131"/>
      <c r="K157" s="53"/>
      <c r="L157" s="57"/>
      <c r="M157" s="57"/>
      <c r="N157" s="53"/>
      <c r="O157" s="53"/>
      <c r="P157" s="53"/>
      <c r="Q157" s="53"/>
      <c r="R157" s="57"/>
      <c r="S157" s="53"/>
      <c r="T157" s="53"/>
      <c r="U157" s="763"/>
      <c r="V157" s="53"/>
      <c r="W157" s="53"/>
      <c r="X157" s="53"/>
      <c r="Y157" s="53"/>
      <c r="Z157" s="53"/>
      <c r="AA157" s="56"/>
      <c r="AB157" s="54"/>
      <c r="AC157" s="54"/>
      <c r="AD157" s="54"/>
      <c r="AE157" s="54"/>
      <c r="AF157" s="131">
        <v>11</v>
      </c>
    </row>
    <row r="158" s="131" customFormat="1" ht="11.5" customHeight="1">
      <c r="A158" s="762"/>
      <c r="B158" s="57"/>
      <c r="C158" s="57"/>
      <c r="D158" s="131"/>
      <c r="K158" s="53"/>
      <c r="L158" s="57"/>
      <c r="M158" s="57"/>
      <c r="N158" s="53"/>
      <c r="O158" s="53"/>
      <c r="P158" s="53"/>
      <c r="Q158" s="53"/>
      <c r="R158" s="57"/>
      <c r="S158" s="53"/>
      <c r="T158" s="53"/>
      <c r="U158" s="763"/>
      <c r="V158" s="53"/>
      <c r="W158" s="53"/>
      <c r="X158" s="53"/>
      <c r="Y158" s="53"/>
      <c r="Z158" s="53"/>
      <c r="AA158" s="56"/>
      <c r="AB158" s="54"/>
      <c r="AC158" s="54"/>
      <c r="AD158" s="54"/>
      <c r="AE158" s="54"/>
      <c r="AF158" s="131">
        <v>11</v>
      </c>
    </row>
    <row r="159" s="131" customFormat="1" ht="11.5" customHeight="1">
      <c r="A159" s="762"/>
      <c r="B159" s="57"/>
      <c r="C159" s="57"/>
      <c r="D159" s="131"/>
      <c r="K159" s="53"/>
      <c r="L159" s="57"/>
      <c r="M159" s="57"/>
      <c r="N159" s="53"/>
      <c r="O159" s="53"/>
      <c r="P159" s="53"/>
      <c r="Q159" s="53"/>
      <c r="R159" s="57"/>
      <c r="S159" s="53"/>
      <c r="T159" s="53"/>
      <c r="U159" s="763"/>
      <c r="V159" s="53"/>
      <c r="W159" s="53"/>
      <c r="X159" s="53"/>
      <c r="Y159" s="53"/>
      <c r="Z159" s="53"/>
      <c r="AA159" s="56"/>
      <c r="AB159" s="54"/>
      <c r="AC159" s="54"/>
      <c r="AD159" s="54"/>
      <c r="AE159" s="54"/>
      <c r="AF159" s="131">
        <v>11</v>
      </c>
    </row>
    <row r="160" s="131" customFormat="1" ht="11.5" customHeight="1">
      <c r="A160" s="762"/>
      <c r="B160" s="57"/>
      <c r="C160" s="57"/>
      <c r="D160" s="131"/>
      <c r="K160" s="53"/>
      <c r="L160" s="57"/>
      <c r="M160" s="57"/>
      <c r="N160" s="53"/>
      <c r="O160" s="53"/>
      <c r="P160" s="53"/>
      <c r="Q160" s="53"/>
      <c r="R160" s="57"/>
      <c r="S160" s="53"/>
      <c r="T160" s="53"/>
      <c r="U160" s="763"/>
      <c r="V160" s="53"/>
      <c r="W160" s="53"/>
      <c r="X160" s="53"/>
      <c r="Y160" s="53"/>
      <c r="Z160" s="53"/>
      <c r="AA160" s="56"/>
      <c r="AB160" s="54"/>
      <c r="AC160" s="54"/>
      <c r="AD160" s="54"/>
      <c r="AE160" s="54"/>
      <c r="AF160" s="131">
        <v>11</v>
      </c>
    </row>
    <row r="161" s="131" customFormat="1" ht="11.5" customHeight="1">
      <c r="A161" s="762"/>
      <c r="B161" s="57"/>
      <c r="C161" s="57"/>
      <c r="D161" s="131"/>
      <c r="K161" s="53"/>
      <c r="L161" s="57"/>
      <c r="M161" s="57"/>
      <c r="N161" s="53"/>
      <c r="O161" s="53"/>
      <c r="P161" s="53"/>
      <c r="Q161" s="53"/>
      <c r="R161" s="57"/>
      <c r="S161" s="53"/>
      <c r="T161" s="53"/>
      <c r="U161" s="763"/>
      <c r="V161" s="53"/>
      <c r="W161" s="53"/>
      <c r="X161" s="53"/>
      <c r="Y161" s="53"/>
      <c r="Z161" s="53"/>
      <c r="AA161" s="56"/>
      <c r="AB161" s="54"/>
      <c r="AC161" s="54"/>
      <c r="AD161" s="54"/>
      <c r="AE161" s="54"/>
      <c r="AF161" s="131">
        <v>11</v>
      </c>
    </row>
    <row r="162" s="131" customFormat="1" ht="11.5" customHeight="1">
      <c r="A162" s="762"/>
      <c r="B162" s="57"/>
      <c r="C162" s="57"/>
      <c r="D162" s="131"/>
      <c r="K162" s="53"/>
      <c r="L162" s="57"/>
      <c r="M162" s="57"/>
      <c r="N162" s="53"/>
      <c r="O162" s="53"/>
      <c r="P162" s="53"/>
      <c r="Q162" s="53"/>
      <c r="R162" s="57"/>
      <c r="S162" s="53"/>
      <c r="T162" s="53"/>
      <c r="U162" s="763"/>
      <c r="V162" s="53"/>
      <c r="W162" s="53"/>
      <c r="X162" s="53"/>
      <c r="Y162" s="53"/>
      <c r="Z162" s="53"/>
      <c r="AA162" s="56"/>
      <c r="AB162" s="54"/>
      <c r="AC162" s="54"/>
      <c r="AD162" s="54"/>
      <c r="AE162" s="54"/>
      <c r="AF162" s="131">
        <v>11</v>
      </c>
    </row>
    <row r="163" s="131" customFormat="1" ht="11.5" customHeight="1">
      <c r="A163" s="762"/>
      <c r="B163" s="57"/>
      <c r="C163" s="57"/>
      <c r="D163" s="131"/>
      <c r="K163" s="53"/>
      <c r="L163" s="57"/>
      <c r="M163" s="57"/>
      <c r="N163" s="53"/>
      <c r="O163" s="53"/>
      <c r="P163" s="53"/>
      <c r="Q163" s="53"/>
      <c r="R163" s="57"/>
      <c r="S163" s="53"/>
      <c r="T163" s="53"/>
      <c r="U163" s="763"/>
      <c r="V163" s="53"/>
      <c r="W163" s="53"/>
      <c r="X163" s="53"/>
      <c r="Y163" s="53"/>
      <c r="Z163" s="53"/>
      <c r="AA163" s="56"/>
      <c r="AB163" s="54"/>
      <c r="AC163" s="54"/>
      <c r="AD163" s="54"/>
      <c r="AE163" s="54"/>
      <c r="AF163" s="131">
        <v>11</v>
      </c>
    </row>
    <row r="164" s="131" customFormat="1" ht="11.5" customHeight="1">
      <c r="A164" s="762"/>
      <c r="B164" s="57"/>
      <c r="C164" s="57"/>
      <c r="D164" s="131"/>
      <c r="K164" s="53"/>
      <c r="L164" s="57"/>
      <c r="M164" s="57"/>
      <c r="N164" s="53"/>
      <c r="O164" s="53"/>
      <c r="P164" s="53"/>
      <c r="Q164" s="53"/>
      <c r="R164" s="57"/>
      <c r="S164" s="53"/>
      <c r="T164" s="53"/>
      <c r="U164" s="763"/>
      <c r="V164" s="53"/>
      <c r="W164" s="53"/>
      <c r="X164" s="53"/>
      <c r="Y164" s="53"/>
      <c r="Z164" s="53"/>
      <c r="AA164" s="56"/>
      <c r="AB164" s="54"/>
      <c r="AC164" s="54"/>
      <c r="AD164" s="54"/>
      <c r="AE164" s="54"/>
      <c r="AF164" s="131">
        <v>11</v>
      </c>
    </row>
    <row r="165" s="131" customFormat="1" ht="11.5" customHeight="1">
      <c r="A165" s="762"/>
      <c r="B165" s="57"/>
      <c r="C165" s="57"/>
      <c r="D165" s="131"/>
      <c r="K165" s="53"/>
      <c r="L165" s="57"/>
      <c r="M165" s="57"/>
      <c r="N165" s="53"/>
      <c r="O165" s="53"/>
      <c r="P165" s="53"/>
      <c r="Q165" s="53"/>
      <c r="R165" s="57"/>
      <c r="S165" s="53"/>
      <c r="T165" s="53"/>
      <c r="U165" s="763"/>
      <c r="V165" s="53"/>
      <c r="W165" s="53"/>
      <c r="X165" s="53"/>
      <c r="Y165" s="53"/>
      <c r="Z165" s="53"/>
      <c r="AA165" s="56"/>
      <c r="AB165" s="54"/>
      <c r="AC165" s="54"/>
      <c r="AD165" s="54"/>
      <c r="AE165" s="54"/>
      <c r="AF165" s="131">
        <v>11</v>
      </c>
    </row>
    <row r="166" s="131" customFormat="1" ht="11.5" customHeight="1">
      <c r="A166" s="762"/>
      <c r="B166" s="57"/>
      <c r="C166" s="57"/>
      <c r="D166" s="131"/>
      <c r="K166" s="53"/>
      <c r="L166" s="57"/>
      <c r="M166" s="57"/>
      <c r="N166" s="53"/>
      <c r="O166" s="53"/>
      <c r="P166" s="53"/>
      <c r="Q166" s="53"/>
      <c r="R166" s="57"/>
      <c r="S166" s="53"/>
      <c r="T166" s="53"/>
      <c r="U166" s="763"/>
      <c r="V166" s="53"/>
      <c r="W166" s="53"/>
      <c r="X166" s="53"/>
      <c r="Y166" s="53"/>
      <c r="Z166" s="53"/>
      <c r="AA166" s="56"/>
      <c r="AB166" s="54"/>
      <c r="AC166" s="54"/>
      <c r="AD166" s="54"/>
      <c r="AE166" s="54"/>
      <c r="AF166" s="131">
        <v>11</v>
      </c>
    </row>
    <row r="167" s="131" customFormat="1" ht="11.5" customHeight="1">
      <c r="A167" s="762"/>
      <c r="B167" s="57"/>
      <c r="C167" s="57"/>
      <c r="D167" s="131"/>
      <c r="K167" s="53"/>
      <c r="L167" s="57"/>
      <c r="M167" s="57"/>
      <c r="N167" s="53"/>
      <c r="O167" s="53"/>
      <c r="P167" s="53"/>
      <c r="Q167" s="53"/>
      <c r="R167" s="57"/>
      <c r="S167" s="53"/>
      <c r="T167" s="53"/>
      <c r="U167" s="763"/>
      <c r="V167" s="53"/>
      <c r="W167" s="53"/>
      <c r="X167" s="53"/>
      <c r="Y167" s="53"/>
      <c r="Z167" s="53"/>
      <c r="AA167" s="56"/>
      <c r="AB167" s="54"/>
      <c r="AC167" s="54"/>
      <c r="AD167" s="54"/>
      <c r="AE167" s="54"/>
      <c r="AF167" s="131">
        <v>11</v>
      </c>
    </row>
    <row r="168" s="131" customFormat="1" ht="11.5" customHeight="1">
      <c r="A168" s="762"/>
      <c r="B168" s="57"/>
      <c r="C168" s="57"/>
      <c r="D168" s="131"/>
      <c r="K168" s="53"/>
      <c r="L168" s="57"/>
      <c r="M168" s="57"/>
      <c r="N168" s="53"/>
      <c r="O168" s="53"/>
      <c r="P168" s="53"/>
      <c r="Q168" s="53"/>
      <c r="R168" s="57"/>
      <c r="S168" s="53"/>
      <c r="T168" s="53"/>
      <c r="U168" s="763"/>
      <c r="V168" s="53"/>
      <c r="W168" s="53"/>
      <c r="X168" s="53"/>
      <c r="Y168" s="53"/>
      <c r="Z168" s="53"/>
      <c r="AA168" s="56"/>
      <c r="AB168" s="54"/>
      <c r="AC168" s="54"/>
      <c r="AD168" s="54"/>
      <c r="AE168" s="54"/>
      <c r="AF168" s="131">
        <v>11</v>
      </c>
    </row>
    <row r="169" s="131" customFormat="1" ht="11.5" customHeight="1">
      <c r="A169" s="762"/>
      <c r="B169" s="57"/>
      <c r="C169" s="57"/>
      <c r="D169" s="131"/>
      <c r="K169" s="53"/>
      <c r="L169" s="57"/>
      <c r="M169" s="57"/>
      <c r="N169" s="53"/>
      <c r="O169" s="53"/>
      <c r="P169" s="53"/>
      <c r="Q169" s="53"/>
      <c r="R169" s="57"/>
      <c r="S169" s="53"/>
      <c r="T169" s="53"/>
      <c r="U169" s="763"/>
      <c r="V169" s="53"/>
      <c r="W169" s="53"/>
      <c r="X169" s="53"/>
      <c r="Y169" s="53"/>
      <c r="Z169" s="53"/>
      <c r="AA169" s="56"/>
      <c r="AB169" s="54"/>
      <c r="AC169" s="54"/>
      <c r="AD169" s="54"/>
      <c r="AE169" s="54"/>
      <c r="AF169" s="131">
        <v>11</v>
      </c>
    </row>
    <row r="170" s="131" customFormat="1" ht="11.5" customHeight="1">
      <c r="A170" s="762"/>
      <c r="B170" s="57"/>
      <c r="C170" s="57"/>
      <c r="D170" s="131"/>
      <c r="K170" s="53"/>
      <c r="L170" s="57"/>
      <c r="M170" s="57"/>
      <c r="N170" s="53"/>
      <c r="O170" s="53"/>
      <c r="P170" s="53"/>
      <c r="Q170" s="53"/>
      <c r="R170" s="57"/>
      <c r="S170" s="53"/>
      <c r="T170" s="53"/>
      <c r="U170" s="763"/>
      <c r="V170" s="53"/>
      <c r="W170" s="53"/>
      <c r="X170" s="53"/>
      <c r="Y170" s="53"/>
      <c r="Z170" s="53"/>
      <c r="AA170" s="56"/>
      <c r="AB170" s="54"/>
      <c r="AC170" s="54"/>
      <c r="AD170" s="54"/>
      <c r="AE170" s="54"/>
      <c r="AF170" s="131">
        <v>11</v>
      </c>
    </row>
    <row r="171" s="131" customFormat="1" ht="11.5" customHeight="1">
      <c r="A171" s="762"/>
      <c r="B171" s="57"/>
      <c r="C171" s="57"/>
      <c r="D171" s="131"/>
      <c r="K171" s="53"/>
      <c r="L171" s="57"/>
      <c r="M171" s="57"/>
      <c r="N171" s="53"/>
      <c r="O171" s="53"/>
      <c r="P171" s="53"/>
      <c r="Q171" s="53"/>
      <c r="R171" s="57"/>
      <c r="S171" s="53"/>
      <c r="T171" s="53"/>
      <c r="U171" s="763"/>
      <c r="V171" s="53"/>
      <c r="W171" s="53"/>
      <c r="X171" s="53"/>
      <c r="Y171" s="53"/>
      <c r="Z171" s="53"/>
      <c r="AA171" s="56"/>
      <c r="AB171" s="54"/>
      <c r="AC171" s="54"/>
      <c r="AD171" s="54"/>
      <c r="AE171" s="54"/>
      <c r="AF171" s="131">
        <v>11</v>
      </c>
    </row>
    <row r="172" s="131" customFormat="1" ht="11.5" customHeight="1">
      <c r="A172" s="762"/>
      <c r="B172" s="57"/>
      <c r="C172" s="57"/>
      <c r="D172" s="131"/>
      <c r="K172" s="53"/>
      <c r="L172" s="57"/>
      <c r="M172" s="57"/>
      <c r="N172" s="53"/>
      <c r="O172" s="53"/>
      <c r="P172" s="53"/>
      <c r="Q172" s="53"/>
      <c r="R172" s="57"/>
      <c r="S172" s="53"/>
      <c r="T172" s="53"/>
      <c r="U172" s="763"/>
      <c r="V172" s="53"/>
      <c r="W172" s="53"/>
      <c r="X172" s="53"/>
      <c r="Y172" s="53"/>
      <c r="Z172" s="53"/>
      <c r="AA172" s="56"/>
      <c r="AB172" s="54"/>
      <c r="AC172" s="54"/>
      <c r="AD172" s="54"/>
      <c r="AE172" s="54"/>
      <c r="AF172" s="131">
        <v>11</v>
      </c>
    </row>
    <row r="173" s="131" customFormat="1" ht="11.5" customHeight="1">
      <c r="A173" s="762"/>
      <c r="B173" s="57"/>
      <c r="C173" s="57"/>
      <c r="D173" s="131"/>
      <c r="K173" s="53"/>
      <c r="L173" s="57"/>
      <c r="M173" s="57"/>
      <c r="N173" s="53"/>
      <c r="O173" s="53"/>
      <c r="P173" s="53"/>
      <c r="Q173" s="53"/>
      <c r="R173" s="57"/>
      <c r="S173" s="53"/>
      <c r="T173" s="53"/>
      <c r="U173" s="763"/>
      <c r="V173" s="53"/>
      <c r="W173" s="53"/>
      <c r="X173" s="53"/>
      <c r="Y173" s="53"/>
      <c r="Z173" s="53"/>
      <c r="AA173" s="56"/>
      <c r="AB173" s="54"/>
      <c r="AC173" s="54"/>
      <c r="AD173" s="54"/>
      <c r="AE173" s="54"/>
      <c r="AF173" s="131">
        <v>11</v>
      </c>
    </row>
    <row r="174" s="131" customFormat="1" ht="11.5" customHeight="1">
      <c r="A174" s="762"/>
      <c r="B174" s="57"/>
      <c r="C174" s="57"/>
      <c r="D174" s="131"/>
      <c r="K174" s="53"/>
      <c r="L174" s="57"/>
      <c r="M174" s="57"/>
      <c r="N174" s="53"/>
      <c r="O174" s="53"/>
      <c r="P174" s="53"/>
      <c r="Q174" s="53"/>
      <c r="R174" s="57"/>
      <c r="S174" s="53"/>
      <c r="T174" s="53"/>
      <c r="U174" s="763"/>
      <c r="V174" s="53"/>
      <c r="W174" s="53"/>
      <c r="X174" s="53"/>
      <c r="Y174" s="53"/>
      <c r="Z174" s="53"/>
      <c r="AA174" s="56"/>
      <c r="AB174" s="54"/>
      <c r="AC174" s="54"/>
      <c r="AD174" s="54"/>
      <c r="AE174" s="54"/>
      <c r="AF174" s="131">
        <v>11</v>
      </c>
    </row>
    <row r="175" s="131" customFormat="1" ht="11.5" customHeight="1">
      <c r="A175" s="762"/>
      <c r="B175" s="57"/>
      <c r="C175" s="57"/>
      <c r="D175" s="131"/>
      <c r="K175" s="53"/>
      <c r="L175" s="57"/>
      <c r="M175" s="57"/>
      <c r="N175" s="53"/>
      <c r="O175" s="53"/>
      <c r="P175" s="53"/>
      <c r="Q175" s="53"/>
      <c r="R175" s="57"/>
      <c r="S175" s="53"/>
      <c r="T175" s="53"/>
      <c r="U175" s="763"/>
      <c r="V175" s="53"/>
      <c r="W175" s="53"/>
      <c r="X175" s="53"/>
      <c r="Y175" s="53"/>
      <c r="Z175" s="53"/>
      <c r="AA175" s="56"/>
      <c r="AB175" s="54"/>
      <c r="AC175" s="54"/>
      <c r="AD175" s="54"/>
      <c r="AE175" s="54"/>
      <c r="AF175" s="131">
        <v>11</v>
      </c>
    </row>
    <row r="176" s="131" customFormat="1" ht="11.5" customHeight="1">
      <c r="A176" s="762"/>
      <c r="B176" s="57"/>
      <c r="C176" s="57"/>
      <c r="D176" s="131"/>
      <c r="K176" s="53"/>
      <c r="L176" s="57"/>
      <c r="M176" s="57"/>
      <c r="N176" s="53"/>
      <c r="O176" s="53"/>
      <c r="P176" s="53"/>
      <c r="Q176" s="53"/>
      <c r="R176" s="57"/>
      <c r="S176" s="53"/>
      <c r="T176" s="53"/>
      <c r="U176" s="763"/>
      <c r="V176" s="53"/>
      <c r="W176" s="53"/>
      <c r="X176" s="53"/>
      <c r="Y176" s="53"/>
      <c r="Z176" s="53"/>
      <c r="AA176" s="56"/>
      <c r="AB176" s="54"/>
      <c r="AC176" s="54"/>
      <c r="AD176" s="54"/>
      <c r="AE176" s="54"/>
      <c r="AF176" s="131">
        <v>11</v>
      </c>
    </row>
    <row r="177" s="131" customFormat="1" ht="11.5" customHeight="1">
      <c r="A177" s="762"/>
      <c r="B177" s="57"/>
      <c r="C177" s="57"/>
      <c r="D177" s="131"/>
      <c r="K177" s="53"/>
      <c r="L177" s="57"/>
      <c r="M177" s="57"/>
      <c r="N177" s="53"/>
      <c r="O177" s="53"/>
      <c r="P177" s="53"/>
      <c r="Q177" s="53"/>
      <c r="R177" s="57"/>
      <c r="S177" s="53"/>
      <c r="T177" s="53"/>
      <c r="U177" s="763"/>
      <c r="V177" s="53"/>
      <c r="W177" s="53"/>
      <c r="X177" s="53"/>
      <c r="Y177" s="53"/>
      <c r="Z177" s="53"/>
      <c r="AA177" s="56"/>
      <c r="AB177" s="54"/>
      <c r="AC177" s="54"/>
      <c r="AD177" s="54"/>
      <c r="AE177" s="54"/>
      <c r="AF177" s="131">
        <v>11</v>
      </c>
    </row>
    <row r="178" s="131" customFormat="1" ht="11.5" customHeight="1">
      <c r="A178" s="762"/>
      <c r="B178" s="57"/>
      <c r="C178" s="57"/>
      <c r="D178" s="131"/>
      <c r="K178" s="53"/>
      <c r="L178" s="57"/>
      <c r="M178" s="57"/>
      <c r="N178" s="53"/>
      <c r="O178" s="53"/>
      <c r="P178" s="53"/>
      <c r="Q178" s="53"/>
      <c r="R178" s="57"/>
      <c r="S178" s="53"/>
      <c r="T178" s="53"/>
      <c r="U178" s="763"/>
      <c r="V178" s="53"/>
      <c r="W178" s="53"/>
      <c r="X178" s="53"/>
      <c r="Y178" s="53"/>
      <c r="Z178" s="53"/>
      <c r="AA178" s="56"/>
      <c r="AB178" s="54"/>
      <c r="AC178" s="54"/>
      <c r="AD178" s="54"/>
      <c r="AE178" s="54"/>
      <c r="AF178" s="131">
        <v>11</v>
      </c>
    </row>
    <row r="179" s="131" customFormat="1" ht="11.5" customHeight="1">
      <c r="A179" s="762"/>
      <c r="B179" s="57"/>
      <c r="C179" s="57"/>
      <c r="D179" s="131"/>
      <c r="K179" s="53"/>
      <c r="L179" s="57"/>
      <c r="M179" s="57"/>
      <c r="N179" s="53"/>
      <c r="O179" s="53"/>
      <c r="P179" s="53"/>
      <c r="Q179" s="53"/>
      <c r="R179" s="57"/>
      <c r="S179" s="53"/>
      <c r="T179" s="53"/>
      <c r="U179" s="763"/>
      <c r="V179" s="53"/>
      <c r="W179" s="53"/>
      <c r="X179" s="53"/>
      <c r="Y179" s="53"/>
      <c r="Z179" s="53"/>
      <c r="AA179" s="56"/>
      <c r="AB179" s="54"/>
      <c r="AC179" s="54"/>
      <c r="AD179" s="54"/>
      <c r="AE179" s="54"/>
      <c r="AF179" s="131">
        <v>11</v>
      </c>
    </row>
    <row r="180" s="131" customFormat="1" ht="11.5" customHeight="1">
      <c r="A180" s="762"/>
      <c r="B180" s="57"/>
      <c r="C180" s="57"/>
      <c r="D180" s="131"/>
      <c r="K180" s="53"/>
      <c r="L180" s="57"/>
      <c r="M180" s="57"/>
      <c r="N180" s="53"/>
      <c r="O180" s="53"/>
      <c r="P180" s="53"/>
      <c r="Q180" s="53"/>
      <c r="R180" s="57"/>
      <c r="S180" s="53"/>
      <c r="T180" s="53"/>
      <c r="U180" s="763"/>
      <c r="V180" s="53"/>
      <c r="W180" s="53"/>
      <c r="X180" s="53"/>
      <c r="Y180" s="53"/>
      <c r="Z180" s="53"/>
      <c r="AA180" s="56"/>
      <c r="AB180" s="54"/>
      <c r="AC180" s="54"/>
      <c r="AD180" s="54"/>
      <c r="AE180" s="54"/>
      <c r="AF180" s="131">
        <v>11</v>
      </c>
    </row>
    <row r="181" s="131" customFormat="1" ht="11.5" customHeight="1">
      <c r="A181" s="762"/>
      <c r="B181" s="57"/>
      <c r="C181" s="57"/>
      <c r="D181" s="131"/>
      <c r="K181" s="53"/>
      <c r="L181" s="57"/>
      <c r="M181" s="57"/>
      <c r="N181" s="53"/>
      <c r="O181" s="53"/>
      <c r="P181" s="53"/>
      <c r="Q181" s="53"/>
      <c r="R181" s="57"/>
      <c r="S181" s="53"/>
      <c r="T181" s="53"/>
      <c r="U181" s="763"/>
      <c r="V181" s="53"/>
      <c r="W181" s="53"/>
      <c r="X181" s="53"/>
      <c r="Y181" s="53"/>
      <c r="Z181" s="53"/>
      <c r="AA181" s="56"/>
      <c r="AB181" s="54"/>
      <c r="AC181" s="54"/>
      <c r="AD181" s="54"/>
      <c r="AE181" s="54"/>
      <c r="AF181" s="131">
        <v>11</v>
      </c>
    </row>
    <row r="182" s="131" customFormat="1" ht="11.5" customHeight="1">
      <c r="A182" s="762"/>
      <c r="B182" s="57"/>
      <c r="C182" s="57"/>
      <c r="D182" s="131"/>
      <c r="K182" s="53"/>
      <c r="L182" s="57"/>
      <c r="M182" s="57"/>
      <c r="N182" s="53"/>
      <c r="O182" s="53"/>
      <c r="P182" s="53"/>
      <c r="Q182" s="53"/>
      <c r="R182" s="57"/>
      <c r="S182" s="53"/>
      <c r="T182" s="53"/>
      <c r="U182" s="763"/>
      <c r="V182" s="53"/>
      <c r="W182" s="53"/>
      <c r="X182" s="53"/>
      <c r="Y182" s="53"/>
      <c r="Z182" s="53"/>
      <c r="AA182" s="56"/>
      <c r="AB182" s="54"/>
      <c r="AC182" s="54"/>
      <c r="AD182" s="54"/>
      <c r="AE182" s="54"/>
      <c r="AF182" s="131">
        <v>11</v>
      </c>
    </row>
    <row r="183" s="131" customFormat="1" ht="11.5" customHeight="1">
      <c r="A183" s="762"/>
      <c r="B183" s="57"/>
      <c r="C183" s="57"/>
      <c r="D183" s="131"/>
      <c r="K183" s="53"/>
      <c r="L183" s="57"/>
      <c r="M183" s="57"/>
      <c r="N183" s="53"/>
      <c r="O183" s="53"/>
      <c r="P183" s="53"/>
      <c r="Q183" s="53"/>
      <c r="R183" s="57"/>
      <c r="S183" s="53"/>
      <c r="T183" s="53"/>
      <c r="U183" s="763"/>
      <c r="V183" s="53"/>
      <c r="W183" s="53"/>
      <c r="X183" s="53"/>
      <c r="Y183" s="53"/>
      <c r="Z183" s="53"/>
      <c r="AA183" s="56"/>
      <c r="AB183" s="54"/>
      <c r="AC183" s="54"/>
      <c r="AD183" s="54"/>
      <c r="AE183" s="54"/>
      <c r="AF183" s="131">
        <v>11</v>
      </c>
    </row>
    <row r="184" s="131" customFormat="1" ht="11.5" customHeight="1">
      <c r="A184" s="762"/>
      <c r="B184" s="57"/>
      <c r="C184" s="57"/>
      <c r="D184" s="131"/>
      <c r="K184" s="53"/>
      <c r="L184" s="57"/>
      <c r="M184" s="57"/>
      <c r="N184" s="53"/>
      <c r="O184" s="53"/>
      <c r="P184" s="53"/>
      <c r="Q184" s="53"/>
      <c r="R184" s="57"/>
      <c r="S184" s="53"/>
      <c r="T184" s="53"/>
      <c r="U184" s="763"/>
      <c r="V184" s="53"/>
      <c r="W184" s="53"/>
      <c r="X184" s="53"/>
      <c r="Y184" s="53"/>
      <c r="Z184" s="53"/>
      <c r="AA184" s="56"/>
      <c r="AB184" s="54"/>
      <c r="AC184" s="54"/>
      <c r="AD184" s="54"/>
      <c r="AE184" s="54"/>
      <c r="AF184" s="131">
        <v>11</v>
      </c>
    </row>
    <row r="185" s="131" customFormat="1" ht="11.5" customHeight="1">
      <c r="A185" s="762"/>
      <c r="B185" s="57"/>
      <c r="C185" s="57"/>
      <c r="D185" s="131"/>
      <c r="K185" s="53"/>
      <c r="L185" s="57"/>
      <c r="M185" s="57"/>
      <c r="N185" s="53"/>
      <c r="O185" s="53"/>
      <c r="P185" s="53"/>
      <c r="Q185" s="53"/>
      <c r="R185" s="57"/>
      <c r="S185" s="53"/>
      <c r="T185" s="53"/>
      <c r="U185" s="763"/>
      <c r="V185" s="53"/>
      <c r="W185" s="53"/>
      <c r="X185" s="53"/>
      <c r="Y185" s="53"/>
      <c r="Z185" s="53"/>
      <c r="AA185" s="56"/>
      <c r="AB185" s="54"/>
      <c r="AC185" s="54"/>
      <c r="AD185" s="54"/>
      <c r="AE185" s="54"/>
      <c r="AF185" s="131">
        <v>11</v>
      </c>
    </row>
    <row r="186" s="131" customFormat="1" ht="11.5" customHeight="1">
      <c r="A186" s="762"/>
      <c r="B186" s="57"/>
      <c r="C186" s="57"/>
      <c r="D186" s="131"/>
      <c r="K186" s="53"/>
      <c r="L186" s="57"/>
      <c r="M186" s="57"/>
      <c r="N186" s="53"/>
      <c r="O186" s="53"/>
      <c r="P186" s="53"/>
      <c r="Q186" s="53"/>
      <c r="R186" s="57"/>
      <c r="S186" s="53"/>
      <c r="T186" s="53"/>
      <c r="U186" s="763"/>
      <c r="V186" s="53"/>
      <c r="W186" s="53"/>
      <c r="X186" s="53"/>
      <c r="Y186" s="53"/>
      <c r="Z186" s="53"/>
      <c r="AA186" s="56"/>
      <c r="AB186" s="54"/>
      <c r="AC186" s="54"/>
      <c r="AD186" s="54"/>
      <c r="AE186" s="54"/>
      <c r="AF186" s="131">
        <v>11</v>
      </c>
    </row>
    <row r="187" s="131" customFormat="1" ht="11.5" customHeight="1">
      <c r="A187" s="762"/>
      <c r="B187" s="57"/>
      <c r="C187" s="57"/>
      <c r="D187" s="131"/>
      <c r="K187" s="53"/>
      <c r="L187" s="57"/>
      <c r="M187" s="57"/>
      <c r="N187" s="53"/>
      <c r="O187" s="53"/>
      <c r="P187" s="53"/>
      <c r="Q187" s="53"/>
      <c r="R187" s="57"/>
      <c r="S187" s="53"/>
      <c r="T187" s="53"/>
      <c r="U187" s="763"/>
      <c r="V187" s="53"/>
      <c r="W187" s="53"/>
      <c r="X187" s="53"/>
      <c r="Y187" s="53"/>
      <c r="Z187" s="53"/>
      <c r="AA187" s="56"/>
      <c r="AB187" s="54"/>
      <c r="AC187" s="54"/>
      <c r="AD187" s="54"/>
      <c r="AE187" s="54"/>
      <c r="AF187" s="131">
        <v>11</v>
      </c>
    </row>
    <row r="188" s="131" customFormat="1" ht="11.5" customHeight="1">
      <c r="A188" s="762"/>
      <c r="B188" s="57"/>
      <c r="C188" s="57"/>
      <c r="D188" s="131"/>
      <c r="K188" s="53"/>
      <c r="L188" s="57"/>
      <c r="M188" s="57"/>
      <c r="N188" s="53"/>
      <c r="O188" s="53"/>
      <c r="P188" s="53"/>
      <c r="Q188" s="53"/>
      <c r="R188" s="57"/>
      <c r="S188" s="53"/>
      <c r="T188" s="53"/>
      <c r="U188" s="763"/>
      <c r="V188" s="53"/>
      <c r="W188" s="53"/>
      <c r="X188" s="53"/>
      <c r="Y188" s="53"/>
      <c r="Z188" s="53"/>
      <c r="AA188" s="56"/>
      <c r="AB188" s="54"/>
      <c r="AC188" s="54"/>
      <c r="AD188" s="54"/>
      <c r="AE188" s="54"/>
      <c r="AF188" s="131">
        <v>11</v>
      </c>
    </row>
    <row r="189" s="131" customFormat="1" ht="11.5" customHeight="1">
      <c r="A189" s="762"/>
      <c r="B189" s="57"/>
      <c r="C189" s="57"/>
      <c r="D189" s="131"/>
      <c r="K189" s="53"/>
      <c r="L189" s="57"/>
      <c r="M189" s="57"/>
      <c r="N189" s="53"/>
      <c r="O189" s="53"/>
      <c r="P189" s="53"/>
      <c r="Q189" s="53"/>
      <c r="R189" s="57"/>
      <c r="S189" s="53"/>
      <c r="T189" s="53"/>
      <c r="U189" s="763"/>
      <c r="V189" s="53"/>
      <c r="W189" s="53"/>
      <c r="X189" s="53"/>
      <c r="Y189" s="53"/>
      <c r="Z189" s="53"/>
      <c r="AA189" s="56"/>
      <c r="AB189" s="54"/>
      <c r="AC189" s="54"/>
      <c r="AD189" s="54"/>
      <c r="AE189" s="54"/>
      <c r="AF189" s="131">
        <v>11</v>
      </c>
    </row>
    <row r="190" s="131" customFormat="1" ht="11.5" customHeight="1">
      <c r="A190" s="762"/>
      <c r="B190" s="57"/>
      <c r="C190" s="57"/>
      <c r="D190" s="131"/>
      <c r="K190" s="53"/>
      <c r="L190" s="57"/>
      <c r="M190" s="57"/>
      <c r="N190" s="53"/>
      <c r="O190" s="53"/>
      <c r="P190" s="53"/>
      <c r="Q190" s="53"/>
      <c r="R190" s="57"/>
      <c r="S190" s="53"/>
      <c r="T190" s="53"/>
      <c r="U190" s="763"/>
      <c r="V190" s="53"/>
      <c r="W190" s="53"/>
      <c r="X190" s="53"/>
      <c r="Y190" s="53"/>
      <c r="Z190" s="53"/>
      <c r="AA190" s="56"/>
      <c r="AB190" s="54"/>
      <c r="AC190" s="54"/>
      <c r="AD190" s="54"/>
      <c r="AE190" s="54"/>
      <c r="AF190" s="131">
        <v>11</v>
      </c>
    </row>
    <row r="191" s="131" customFormat="1" ht="11.5" customHeight="1">
      <c r="A191" s="762"/>
      <c r="B191" s="57"/>
      <c r="C191" s="57"/>
      <c r="D191" s="131"/>
      <c r="K191" s="53"/>
      <c r="L191" s="57"/>
      <c r="M191" s="57"/>
      <c r="N191" s="53"/>
      <c r="O191" s="53"/>
      <c r="P191" s="53"/>
      <c r="Q191" s="53"/>
      <c r="R191" s="57"/>
      <c r="S191" s="53"/>
      <c r="T191" s="53"/>
      <c r="U191" s="763"/>
      <c r="V191" s="53"/>
      <c r="W191" s="53"/>
      <c r="X191" s="53"/>
      <c r="Y191" s="53"/>
      <c r="Z191" s="53"/>
      <c r="AA191" s="56"/>
      <c r="AB191" s="54"/>
      <c r="AC191" s="54"/>
      <c r="AD191" s="54"/>
      <c r="AE191" s="54"/>
      <c r="AF191" s="131">
        <v>11</v>
      </c>
    </row>
    <row r="192" s="131" customFormat="1" ht="11.5" customHeight="1">
      <c r="A192" s="762"/>
      <c r="B192" s="57"/>
      <c r="C192" s="57"/>
      <c r="D192" s="131"/>
      <c r="K192" s="53"/>
      <c r="L192" s="57"/>
      <c r="M192" s="57"/>
      <c r="N192" s="53"/>
      <c r="O192" s="53"/>
      <c r="P192" s="53"/>
      <c r="Q192" s="53"/>
      <c r="R192" s="57"/>
      <c r="S192" s="53"/>
      <c r="T192" s="53"/>
      <c r="U192" s="763"/>
      <c r="V192" s="53"/>
      <c r="W192" s="53"/>
      <c r="X192" s="53"/>
      <c r="Y192" s="53"/>
      <c r="Z192" s="53"/>
      <c r="AA192" s="56"/>
      <c r="AB192" s="54"/>
      <c r="AC192" s="54"/>
      <c r="AD192" s="54"/>
      <c r="AE192" s="54"/>
      <c r="AF192" s="131">
        <v>11</v>
      </c>
    </row>
    <row r="193" s="131" customFormat="1" ht="11.5" customHeight="1">
      <c r="A193" s="762"/>
      <c r="B193" s="57"/>
      <c r="C193" s="57"/>
      <c r="D193" s="131"/>
      <c r="K193" s="53"/>
      <c r="L193" s="57"/>
      <c r="M193" s="57"/>
      <c r="N193" s="53"/>
      <c r="O193" s="53"/>
      <c r="P193" s="53"/>
      <c r="Q193" s="53"/>
      <c r="R193" s="57"/>
      <c r="S193" s="53"/>
      <c r="T193" s="53"/>
      <c r="U193" s="763"/>
      <c r="V193" s="53"/>
      <c r="W193" s="53"/>
      <c r="X193" s="53"/>
      <c r="Y193" s="53"/>
      <c r="Z193" s="53"/>
      <c r="AA193" s="56"/>
      <c r="AB193" s="54"/>
      <c r="AC193" s="54"/>
      <c r="AD193" s="54"/>
      <c r="AE193" s="54"/>
      <c r="AF193" s="131">
        <v>11</v>
      </c>
    </row>
    <row r="194" s="131" customFormat="1" ht="11.5" customHeight="1">
      <c r="A194" s="762"/>
      <c r="B194" s="57"/>
      <c r="C194" s="57"/>
      <c r="D194" s="131"/>
      <c r="K194" s="53"/>
      <c r="L194" s="57"/>
      <c r="M194" s="57"/>
      <c r="N194" s="53"/>
      <c r="O194" s="53"/>
      <c r="P194" s="53"/>
      <c r="Q194" s="53"/>
      <c r="R194" s="57"/>
      <c r="S194" s="53"/>
      <c r="T194" s="53"/>
      <c r="U194" s="763"/>
      <c r="V194" s="53"/>
      <c r="W194" s="53"/>
      <c r="X194" s="53"/>
      <c r="Y194" s="53"/>
      <c r="Z194" s="53"/>
      <c r="AA194" s="56"/>
      <c r="AB194" s="54"/>
      <c r="AC194" s="54"/>
      <c r="AD194" s="54"/>
      <c r="AE194" s="54"/>
      <c r="AF194" s="131">
        <v>11</v>
      </c>
    </row>
    <row r="195" s="131" customFormat="1" ht="11.5" customHeight="1">
      <c r="A195" s="762"/>
      <c r="B195" s="57"/>
      <c r="C195" s="57"/>
      <c r="D195" s="131"/>
      <c r="K195" s="53"/>
      <c r="L195" s="57"/>
      <c r="M195" s="57"/>
      <c r="N195" s="53"/>
      <c r="O195" s="53"/>
      <c r="P195" s="53"/>
      <c r="Q195" s="53"/>
      <c r="R195" s="57"/>
      <c r="S195" s="53"/>
      <c r="T195" s="53"/>
      <c r="U195" s="763"/>
      <c r="V195" s="53"/>
      <c r="W195" s="53"/>
      <c r="X195" s="53"/>
      <c r="Y195" s="53"/>
      <c r="Z195" s="53"/>
      <c r="AA195" s="56"/>
      <c r="AB195" s="54"/>
      <c r="AC195" s="54"/>
      <c r="AD195" s="54"/>
      <c r="AE195" s="54"/>
      <c r="AF195" s="131">
        <v>11</v>
      </c>
    </row>
    <row r="196" s="131" customFormat="1" ht="11.5" customHeight="1">
      <c r="A196" s="762"/>
      <c r="B196" s="57"/>
      <c r="C196" s="57"/>
      <c r="D196" s="131"/>
      <c r="K196" s="53"/>
      <c r="L196" s="57"/>
      <c r="M196" s="57"/>
      <c r="N196" s="53"/>
      <c r="O196" s="53"/>
      <c r="P196" s="53"/>
      <c r="Q196" s="53"/>
      <c r="R196" s="57"/>
      <c r="S196" s="53"/>
      <c r="T196" s="53"/>
      <c r="U196" s="763"/>
      <c r="V196" s="53"/>
      <c r="W196" s="53"/>
      <c r="X196" s="53"/>
      <c r="Y196" s="53"/>
      <c r="Z196" s="53"/>
      <c r="AA196" s="56"/>
      <c r="AB196" s="54"/>
      <c r="AC196" s="54"/>
      <c r="AD196" s="54"/>
      <c r="AE196" s="54"/>
      <c r="AF196" s="131">
        <v>11</v>
      </c>
    </row>
    <row r="197" s="131" customFormat="1" ht="11.5" customHeight="1">
      <c r="A197" s="762"/>
      <c r="B197" s="57"/>
      <c r="C197" s="57"/>
      <c r="D197" s="131"/>
      <c r="K197" s="53"/>
      <c r="L197" s="57"/>
      <c r="M197" s="57"/>
      <c r="N197" s="53"/>
      <c r="O197" s="53"/>
      <c r="P197" s="53"/>
      <c r="Q197" s="53"/>
      <c r="R197" s="57"/>
      <c r="S197" s="53"/>
      <c r="T197" s="53"/>
      <c r="U197" s="763"/>
      <c r="V197" s="53"/>
      <c r="W197" s="53"/>
      <c r="X197" s="53"/>
      <c r="Y197" s="53"/>
      <c r="Z197" s="53"/>
      <c r="AA197" s="56"/>
      <c r="AB197" s="54"/>
      <c r="AC197" s="54"/>
      <c r="AD197" s="54"/>
      <c r="AE197" s="54"/>
      <c r="AF197" s="131">
        <v>11</v>
      </c>
    </row>
    <row r="198" s="131" customFormat="1" ht="11.5" customHeight="1">
      <c r="A198" s="762"/>
      <c r="B198" s="57"/>
      <c r="C198" s="57"/>
      <c r="D198" s="131"/>
      <c r="K198" s="53"/>
      <c r="L198" s="57"/>
      <c r="M198" s="57"/>
      <c r="N198" s="53"/>
      <c r="O198" s="53"/>
      <c r="P198" s="53"/>
      <c r="Q198" s="53"/>
      <c r="R198" s="57"/>
      <c r="S198" s="53"/>
      <c r="T198" s="53"/>
      <c r="U198" s="763"/>
      <c r="V198" s="53"/>
      <c r="W198" s="53"/>
      <c r="X198" s="53"/>
      <c r="Y198" s="53"/>
      <c r="Z198" s="53"/>
      <c r="AA198" s="56"/>
      <c r="AB198" s="54"/>
      <c r="AC198" s="54"/>
      <c r="AD198" s="54"/>
      <c r="AE198" s="54"/>
      <c r="AF198" s="131">
        <v>11</v>
      </c>
    </row>
    <row r="199" s="131" customFormat="1" ht="11.5" customHeight="1">
      <c r="A199" s="762"/>
      <c r="B199" s="57"/>
      <c r="C199" s="57"/>
      <c r="D199" s="131"/>
      <c r="K199" s="53"/>
      <c r="L199" s="57"/>
      <c r="M199" s="57"/>
      <c r="N199" s="53"/>
      <c r="O199" s="53"/>
      <c r="P199" s="53"/>
      <c r="Q199" s="53"/>
      <c r="R199" s="57"/>
      <c r="S199" s="53"/>
      <c r="T199" s="53"/>
      <c r="U199" s="763"/>
      <c r="V199" s="53"/>
      <c r="W199" s="53"/>
      <c r="X199" s="53"/>
      <c r="Y199" s="53"/>
      <c r="Z199" s="53"/>
      <c r="AA199" s="56"/>
      <c r="AB199" s="54"/>
      <c r="AC199" s="54"/>
      <c r="AD199" s="54"/>
      <c r="AE199" s="54"/>
      <c r="AF199" s="131">
        <v>11</v>
      </c>
    </row>
    <row r="200" s="131" customFormat="1" ht="11.5" customHeight="1">
      <c r="A200" s="762"/>
      <c r="B200" s="57"/>
      <c r="C200" s="57"/>
      <c r="D200" s="131"/>
      <c r="K200" s="53"/>
      <c r="L200" s="57"/>
      <c r="M200" s="57"/>
      <c r="N200" s="53"/>
      <c r="O200" s="53"/>
      <c r="P200" s="53"/>
      <c r="Q200" s="53"/>
      <c r="R200" s="57"/>
      <c r="S200" s="53"/>
      <c r="T200" s="53"/>
      <c r="U200" s="763"/>
      <c r="V200" s="53"/>
      <c r="W200" s="53"/>
      <c r="X200" s="53"/>
      <c r="Y200" s="53"/>
      <c r="Z200" s="53"/>
      <c r="AA200" s="56"/>
      <c r="AB200" s="54"/>
      <c r="AC200" s="54"/>
      <c r="AD200" s="54"/>
      <c r="AE200" s="54"/>
      <c r="AF200" s="131">
        <v>11</v>
      </c>
    </row>
    <row r="201" s="131" customFormat="1" ht="11.5" customHeight="1">
      <c r="A201" s="762"/>
      <c r="B201" s="57"/>
      <c r="C201" s="57"/>
      <c r="D201" s="131"/>
      <c r="K201" s="53"/>
      <c r="L201" s="57"/>
      <c r="M201" s="57"/>
      <c r="N201" s="53"/>
      <c r="O201" s="53"/>
      <c r="P201" s="53"/>
      <c r="Q201" s="53"/>
      <c r="R201" s="57"/>
      <c r="S201" s="53"/>
      <c r="T201" s="53"/>
      <c r="U201" s="763"/>
      <c r="V201" s="53"/>
      <c r="W201" s="53"/>
      <c r="X201" s="53"/>
      <c r="Y201" s="53"/>
      <c r="Z201" s="53"/>
      <c r="AA201" s="56"/>
      <c r="AB201" s="54"/>
      <c r="AC201" s="54"/>
      <c r="AD201" s="54"/>
      <c r="AE201" s="54"/>
      <c r="AF201" s="131">
        <v>11</v>
      </c>
    </row>
    <row r="202" s="131" customFormat="1" ht="11.5" customHeight="1">
      <c r="A202" s="762"/>
      <c r="B202" s="57"/>
      <c r="C202" s="57"/>
      <c r="D202" s="131"/>
      <c r="K202" s="53"/>
      <c r="L202" s="57"/>
      <c r="M202" s="57"/>
      <c r="N202" s="53"/>
      <c r="O202" s="53"/>
      <c r="P202" s="53"/>
      <c r="Q202" s="53"/>
      <c r="R202" s="57"/>
      <c r="S202" s="53"/>
      <c r="T202" s="53"/>
      <c r="U202" s="763"/>
      <c r="V202" s="53"/>
      <c r="W202" s="53"/>
      <c r="X202" s="53"/>
      <c r="Y202" s="53"/>
      <c r="Z202" s="53"/>
      <c r="AA202" s="56"/>
      <c r="AB202" s="54"/>
      <c r="AC202" s="54"/>
      <c r="AD202" s="54"/>
      <c r="AE202" s="54"/>
      <c r="AF202" s="131">
        <v>11</v>
      </c>
    </row>
    <row r="203" s="131" customFormat="1" ht="11.5" customHeight="1">
      <c r="A203" s="762"/>
      <c r="B203" s="57"/>
      <c r="C203" s="57"/>
      <c r="D203" s="131"/>
      <c r="K203" s="53"/>
      <c r="L203" s="57"/>
      <c r="M203" s="57"/>
      <c r="N203" s="53"/>
      <c r="O203" s="53"/>
      <c r="P203" s="53"/>
      <c r="Q203" s="53"/>
      <c r="R203" s="57"/>
      <c r="S203" s="53"/>
      <c r="T203" s="53"/>
      <c r="U203" s="763"/>
      <c r="V203" s="53"/>
      <c r="W203" s="53"/>
      <c r="X203" s="53"/>
      <c r="Y203" s="53"/>
      <c r="Z203" s="53"/>
      <c r="AA203" s="56"/>
      <c r="AB203" s="54"/>
      <c r="AC203" s="54"/>
      <c r="AD203" s="54"/>
      <c r="AE203" s="54"/>
      <c r="AF203" s="131">
        <v>11</v>
      </c>
    </row>
    <row r="204" s="131" customFormat="1" ht="11.5" customHeight="1">
      <c r="A204" s="762"/>
      <c r="B204" s="57"/>
      <c r="C204" s="57"/>
      <c r="D204" s="131"/>
      <c r="K204" s="53"/>
      <c r="L204" s="57"/>
      <c r="M204" s="57"/>
      <c r="N204" s="53"/>
      <c r="O204" s="53"/>
      <c r="P204" s="53"/>
      <c r="Q204" s="53"/>
      <c r="R204" s="57"/>
      <c r="S204" s="53"/>
      <c r="T204" s="53"/>
      <c r="U204" s="763"/>
      <c r="V204" s="53"/>
      <c r="W204" s="53"/>
      <c r="X204" s="53"/>
      <c r="Y204" s="53"/>
      <c r="Z204" s="53"/>
      <c r="AA204" s="56"/>
      <c r="AB204" s="54"/>
      <c r="AC204" s="54"/>
      <c r="AD204" s="54"/>
      <c r="AE204" s="54"/>
      <c r="AF204" s="131">
        <v>11</v>
      </c>
    </row>
    <row r="205" s="131" customFormat="1" ht="11.5" customHeight="1">
      <c r="A205" s="762"/>
      <c r="B205" s="57"/>
      <c r="C205" s="57"/>
      <c r="D205" s="131"/>
      <c r="K205" s="53"/>
      <c r="L205" s="57"/>
      <c r="M205" s="57"/>
      <c r="N205" s="53"/>
      <c r="O205" s="53"/>
      <c r="P205" s="53"/>
      <c r="Q205" s="53"/>
      <c r="R205" s="57"/>
      <c r="S205" s="53"/>
      <c r="T205" s="53"/>
      <c r="U205" s="763"/>
      <c r="V205" s="53"/>
      <c r="W205" s="53"/>
      <c r="X205" s="53"/>
      <c r="Y205" s="53"/>
      <c r="Z205" s="53"/>
      <c r="AA205" s="56"/>
      <c r="AB205" s="54"/>
      <c r="AC205" s="54"/>
      <c r="AD205" s="54"/>
      <c r="AE205" s="54"/>
      <c r="AF205" s="131">
        <v>11</v>
      </c>
    </row>
    <row r="206" s="131" customFormat="1" ht="11.5" customHeight="1">
      <c r="A206" s="762"/>
      <c r="B206" s="57"/>
      <c r="C206" s="57"/>
      <c r="D206" s="131"/>
      <c r="K206" s="53"/>
      <c r="L206" s="57"/>
      <c r="M206" s="57"/>
      <c r="N206" s="53"/>
      <c r="O206" s="53"/>
      <c r="P206" s="53"/>
      <c r="Q206" s="53"/>
      <c r="R206" s="57"/>
      <c r="S206" s="53"/>
      <c r="T206" s="53"/>
      <c r="U206" s="763"/>
      <c r="V206" s="53"/>
      <c r="W206" s="53"/>
      <c r="X206" s="53"/>
      <c r="Y206" s="53"/>
      <c r="Z206" s="53"/>
      <c r="AA206" s="56"/>
      <c r="AB206" s="54"/>
      <c r="AC206" s="54"/>
      <c r="AD206" s="54"/>
      <c r="AE206" s="54"/>
      <c r="AF206" s="131">
        <v>11</v>
      </c>
    </row>
    <row r="207" s="131" customFormat="1" ht="11.5" customHeight="1">
      <c r="A207" s="762"/>
      <c r="B207" s="57"/>
      <c r="C207" s="57"/>
      <c r="D207" s="131"/>
      <c r="K207" s="53"/>
      <c r="L207" s="57"/>
      <c r="M207" s="57"/>
      <c r="N207" s="53"/>
      <c r="O207" s="53"/>
      <c r="P207" s="53"/>
      <c r="Q207" s="53"/>
      <c r="R207" s="57"/>
      <c r="S207" s="53"/>
      <c r="T207" s="53"/>
      <c r="U207" s="763"/>
      <c r="V207" s="53"/>
      <c r="W207" s="53"/>
      <c r="X207" s="53"/>
      <c r="Y207" s="53"/>
      <c r="Z207" s="53"/>
      <c r="AA207" s="56"/>
      <c r="AB207" s="54"/>
      <c r="AC207" s="54"/>
      <c r="AD207" s="54"/>
      <c r="AE207" s="54"/>
      <c r="AF207" s="131">
        <v>11</v>
      </c>
    </row>
    <row r="208" s="131" customFormat="1" ht="11.5" customHeight="1">
      <c r="A208" s="762"/>
      <c r="B208" s="57"/>
      <c r="C208" s="57"/>
      <c r="D208" s="131"/>
      <c r="K208" s="53"/>
      <c r="L208" s="57"/>
      <c r="M208" s="57"/>
      <c r="N208" s="53"/>
      <c r="O208" s="53"/>
      <c r="P208" s="53"/>
      <c r="Q208" s="53"/>
      <c r="R208" s="57"/>
      <c r="S208" s="53"/>
      <c r="T208" s="53"/>
      <c r="U208" s="763"/>
      <c r="V208" s="53"/>
      <c r="W208" s="53"/>
      <c r="X208" s="53"/>
      <c r="Y208" s="53"/>
      <c r="Z208" s="53"/>
      <c r="AA208" s="56"/>
      <c r="AB208" s="54"/>
      <c r="AC208" s="54"/>
      <c r="AD208" s="54"/>
      <c r="AE208" s="54"/>
      <c r="AF208" s="131">
        <v>11</v>
      </c>
    </row>
    <row r="209" s="131" customFormat="1" ht="11.5" customHeight="1">
      <c r="A209" s="762"/>
      <c r="B209" s="57"/>
      <c r="C209" s="57"/>
      <c r="D209" s="131"/>
      <c r="K209" s="53"/>
      <c r="L209" s="57"/>
      <c r="M209" s="57"/>
      <c r="N209" s="53"/>
      <c r="O209" s="53"/>
      <c r="P209" s="53"/>
      <c r="Q209" s="53"/>
      <c r="R209" s="57"/>
      <c r="S209" s="53"/>
      <c r="T209" s="53"/>
      <c r="U209" s="763"/>
      <c r="V209" s="53"/>
      <c r="W209" s="53"/>
      <c r="X209" s="53"/>
      <c r="Y209" s="53"/>
      <c r="Z209" s="53"/>
      <c r="AA209" s="56"/>
      <c r="AB209" s="54"/>
      <c r="AC209" s="54"/>
      <c r="AD209" s="54"/>
      <c r="AE209" s="54"/>
      <c r="AF209" s="131">
        <v>11</v>
      </c>
    </row>
    <row r="210" s="131" customFormat="1" ht="11.5" customHeight="1">
      <c r="A210" s="762"/>
      <c r="B210" s="57"/>
      <c r="C210" s="57"/>
      <c r="D210" s="131"/>
      <c r="K210" s="53"/>
      <c r="L210" s="57"/>
      <c r="M210" s="57"/>
      <c r="N210" s="53"/>
      <c r="O210" s="53"/>
      <c r="P210" s="53"/>
      <c r="Q210" s="53"/>
      <c r="R210" s="57"/>
      <c r="S210" s="53"/>
      <c r="T210" s="53"/>
      <c r="U210" s="763"/>
      <c r="V210" s="53"/>
      <c r="W210" s="53"/>
      <c r="X210" s="53"/>
      <c r="Y210" s="53"/>
      <c r="Z210" s="53"/>
      <c r="AA210" s="56"/>
      <c r="AB210" s="54"/>
      <c r="AC210" s="54"/>
      <c r="AD210" s="54"/>
      <c r="AE210" s="54"/>
      <c r="AF210" s="131">
        <v>11</v>
      </c>
    </row>
    <row r="211" s="131" customFormat="1" ht="11.5" customHeight="1">
      <c r="A211" s="762"/>
      <c r="B211" s="57"/>
      <c r="C211" s="57"/>
      <c r="D211" s="131"/>
      <c r="K211" s="53"/>
      <c r="L211" s="57"/>
      <c r="M211" s="57"/>
      <c r="N211" s="53"/>
      <c r="O211" s="53"/>
      <c r="P211" s="53"/>
      <c r="Q211" s="53"/>
      <c r="R211" s="57"/>
      <c r="S211" s="53"/>
      <c r="T211" s="53"/>
      <c r="U211" s="763"/>
      <c r="V211" s="53"/>
      <c r="W211" s="53"/>
      <c r="X211" s="53"/>
      <c r="Y211" s="53"/>
      <c r="Z211" s="53"/>
      <c r="AA211" s="56"/>
      <c r="AB211" s="54"/>
      <c r="AC211" s="54"/>
      <c r="AD211" s="54"/>
      <c r="AE211" s="54"/>
      <c r="AF211" s="131">
        <v>11</v>
      </c>
    </row>
    <row r="212" s="131" customFormat="1" ht="11.5" customHeight="1">
      <c r="A212" s="762"/>
      <c r="B212" s="57"/>
      <c r="C212" s="57"/>
      <c r="D212" s="131"/>
      <c r="K212" s="53"/>
      <c r="L212" s="57"/>
      <c r="M212" s="57"/>
      <c r="N212" s="53"/>
      <c r="O212" s="53"/>
      <c r="P212" s="53"/>
      <c r="Q212" s="53"/>
      <c r="R212" s="57"/>
      <c r="S212" s="53"/>
      <c r="T212" s="53"/>
      <c r="U212" s="763"/>
      <c r="V212" s="53"/>
      <c r="W212" s="53"/>
      <c r="X212" s="53"/>
      <c r="Y212" s="53"/>
      <c r="Z212" s="53"/>
      <c r="AA212" s="56"/>
      <c r="AB212" s="54"/>
      <c r="AC212" s="54"/>
      <c r="AD212" s="54"/>
      <c r="AE212" s="54"/>
      <c r="AF212" s="131">
        <v>11</v>
      </c>
    </row>
    <row r="213" s="131" customFormat="1" ht="11.5" customHeight="1">
      <c r="A213" s="762"/>
      <c r="B213" s="57"/>
      <c r="C213" s="57"/>
      <c r="D213" s="131"/>
      <c r="K213" s="53"/>
      <c r="L213" s="57"/>
      <c r="M213" s="57"/>
      <c r="N213" s="53"/>
      <c r="O213" s="53"/>
      <c r="P213" s="53"/>
      <c r="Q213" s="53"/>
      <c r="R213" s="57"/>
      <c r="S213" s="53"/>
      <c r="T213" s="53"/>
      <c r="U213" s="763"/>
      <c r="V213" s="53"/>
      <c r="W213" s="53"/>
      <c r="X213" s="53"/>
      <c r="Y213" s="53"/>
      <c r="Z213" s="53"/>
      <c r="AA213" s="56"/>
      <c r="AB213" s="54"/>
      <c r="AC213" s="54"/>
      <c r="AD213" s="54"/>
      <c r="AE213" s="54"/>
      <c r="AF213" s="131">
        <v>11</v>
      </c>
    </row>
    <row r="214" s="131" customFormat="1" ht="11.5" customHeight="1">
      <c r="A214" s="762"/>
      <c r="B214" s="57"/>
      <c r="C214" s="57"/>
      <c r="D214" s="131"/>
      <c r="K214" s="53"/>
      <c r="L214" s="57"/>
      <c r="M214" s="57"/>
      <c r="N214" s="53"/>
      <c r="O214" s="53"/>
      <c r="P214" s="53"/>
      <c r="Q214" s="53"/>
      <c r="R214" s="57"/>
      <c r="S214" s="53"/>
      <c r="T214" s="53"/>
      <c r="U214" s="763"/>
      <c r="V214" s="53"/>
      <c r="W214" s="53"/>
      <c r="X214" s="53"/>
      <c r="Y214" s="53"/>
      <c r="Z214" s="53"/>
      <c r="AA214" s="56"/>
      <c r="AB214" s="54"/>
      <c r="AC214" s="54"/>
      <c r="AD214" s="54"/>
      <c r="AE214" s="54"/>
      <c r="AF214" s="131">
        <v>11</v>
      </c>
    </row>
    <row r="215" s="131" customFormat="1" ht="11.5" customHeight="1">
      <c r="A215" s="762"/>
      <c r="B215" s="57"/>
      <c r="C215" s="57"/>
      <c r="D215" s="131"/>
      <c r="K215" s="53"/>
      <c r="L215" s="57"/>
      <c r="M215" s="57"/>
      <c r="N215" s="53"/>
      <c r="O215" s="53"/>
      <c r="P215" s="53"/>
      <c r="Q215" s="53"/>
      <c r="R215" s="57"/>
      <c r="S215" s="53"/>
      <c r="T215" s="53"/>
      <c r="U215" s="763"/>
      <c r="V215" s="53"/>
      <c r="W215" s="53"/>
      <c r="X215" s="53"/>
      <c r="Y215" s="53"/>
      <c r="Z215" s="53"/>
      <c r="AA215" s="56"/>
      <c r="AB215" s="54"/>
      <c r="AC215" s="54"/>
      <c r="AD215" s="54"/>
      <c r="AE215" s="54"/>
      <c r="AF215" s="131">
        <v>11</v>
      </c>
    </row>
    <row r="216" s="131" customFormat="1" ht="11.5" customHeight="1">
      <c r="A216" s="762"/>
      <c r="B216" s="57"/>
      <c r="C216" s="57"/>
      <c r="D216" s="131"/>
      <c r="K216" s="53"/>
      <c r="L216" s="57"/>
      <c r="M216" s="57"/>
      <c r="N216" s="53"/>
      <c r="O216" s="53"/>
      <c r="P216" s="53"/>
      <c r="Q216" s="53"/>
      <c r="R216" s="57"/>
      <c r="S216" s="53"/>
      <c r="T216" s="53"/>
      <c r="U216" s="763"/>
      <c r="V216" s="53"/>
      <c r="W216" s="53"/>
      <c r="X216" s="53"/>
      <c r="Y216" s="53"/>
      <c r="Z216" s="53"/>
      <c r="AA216" s="56"/>
      <c r="AB216" s="54"/>
      <c r="AC216" s="54"/>
      <c r="AD216" s="54"/>
      <c r="AE216" s="54"/>
      <c r="AF216" s="131">
        <v>11</v>
      </c>
    </row>
    <row r="217" s="131" customFormat="1" ht="11.5" customHeight="1">
      <c r="A217" s="762"/>
      <c r="B217" s="57"/>
      <c r="C217" s="57"/>
      <c r="D217" s="131"/>
      <c r="K217" s="53"/>
      <c r="L217" s="57"/>
      <c r="M217" s="57"/>
      <c r="N217" s="53"/>
      <c r="O217" s="53"/>
      <c r="P217" s="53"/>
      <c r="Q217" s="53"/>
      <c r="R217" s="57"/>
      <c r="S217" s="53"/>
      <c r="T217" s="53"/>
      <c r="U217" s="763"/>
      <c r="V217" s="53"/>
      <c r="W217" s="53"/>
      <c r="X217" s="53"/>
      <c r="Y217" s="53"/>
      <c r="Z217" s="53"/>
      <c r="AA217" s="56"/>
      <c r="AB217" s="54"/>
      <c r="AC217" s="54"/>
      <c r="AD217" s="54"/>
      <c r="AE217" s="54"/>
      <c r="AF217" s="131">
        <v>11</v>
      </c>
    </row>
    <row r="218" s="131" customFormat="1" ht="11.5" customHeight="1">
      <c r="A218" s="762"/>
      <c r="B218" s="57"/>
      <c r="C218" s="57"/>
      <c r="D218" s="131"/>
      <c r="K218" s="53"/>
      <c r="L218" s="57"/>
      <c r="M218" s="57"/>
      <c r="N218" s="53"/>
      <c r="O218" s="53"/>
      <c r="P218" s="53"/>
      <c r="Q218" s="53"/>
      <c r="R218" s="57"/>
      <c r="S218" s="53"/>
      <c r="T218" s="53"/>
      <c r="U218" s="763"/>
      <c r="V218" s="53"/>
      <c r="W218" s="53"/>
      <c r="X218" s="53"/>
      <c r="Y218" s="53"/>
      <c r="Z218" s="53"/>
      <c r="AA218" s="56"/>
      <c r="AB218" s="54"/>
      <c r="AC218" s="54"/>
      <c r="AD218" s="54"/>
      <c r="AE218" s="54"/>
      <c r="AF218" s="131">
        <v>11</v>
      </c>
    </row>
    <row r="219" s="131" customFormat="1" ht="11.5" customHeight="1">
      <c r="A219" s="762"/>
      <c r="B219" s="57"/>
      <c r="C219" s="57"/>
      <c r="D219" s="131"/>
      <c r="K219" s="53"/>
      <c r="L219" s="57"/>
      <c r="M219" s="57"/>
      <c r="N219" s="53"/>
      <c r="O219" s="53"/>
      <c r="P219" s="53"/>
      <c r="Q219" s="53"/>
      <c r="R219" s="57"/>
      <c r="S219" s="53"/>
      <c r="T219" s="53"/>
      <c r="U219" s="763"/>
      <c r="V219" s="53"/>
      <c r="W219" s="53"/>
      <c r="X219" s="53"/>
      <c r="Y219" s="53"/>
      <c r="Z219" s="53"/>
      <c r="AA219" s="56"/>
      <c r="AB219" s="54"/>
      <c r="AC219" s="54"/>
      <c r="AD219" s="54"/>
      <c r="AE219" s="54"/>
      <c r="AF219" s="131">
        <v>11</v>
      </c>
    </row>
    <row r="220" s="131" customFormat="1" ht="11.5" customHeight="1">
      <c r="A220" s="762"/>
      <c r="B220" s="57"/>
      <c r="C220" s="57"/>
      <c r="D220" s="131"/>
      <c r="K220" s="53"/>
      <c r="L220" s="57"/>
      <c r="M220" s="57"/>
      <c r="N220" s="53"/>
      <c r="O220" s="53"/>
      <c r="P220" s="53"/>
      <c r="Q220" s="53"/>
      <c r="R220" s="57"/>
      <c r="S220" s="53"/>
      <c r="T220" s="53"/>
      <c r="U220" s="763"/>
      <c r="V220" s="53"/>
      <c r="W220" s="53"/>
      <c r="X220" s="53"/>
      <c r="Y220" s="53"/>
      <c r="Z220" s="53"/>
      <c r="AA220" s="56"/>
      <c r="AB220" s="54"/>
      <c r="AC220" s="54"/>
      <c r="AD220" s="54"/>
      <c r="AE220" s="54"/>
      <c r="AF220" s="131">
        <v>11</v>
      </c>
    </row>
    <row r="221" s="131" customFormat="1" ht="11.5" customHeight="1">
      <c r="A221" s="762"/>
      <c r="B221" s="57"/>
      <c r="C221" s="57"/>
      <c r="D221" s="131"/>
      <c r="K221" s="53"/>
      <c r="L221" s="57"/>
      <c r="M221" s="57"/>
      <c r="N221" s="53"/>
      <c r="O221" s="53"/>
      <c r="P221" s="53"/>
      <c r="Q221" s="53"/>
      <c r="R221" s="57"/>
      <c r="S221" s="53"/>
      <c r="T221" s="53"/>
      <c r="U221" s="763"/>
      <c r="V221" s="53"/>
      <c r="W221" s="53"/>
      <c r="X221" s="53"/>
      <c r="Y221" s="53"/>
      <c r="Z221" s="53"/>
      <c r="AA221" s="56"/>
      <c r="AB221" s="54"/>
      <c r="AC221" s="54"/>
      <c r="AD221" s="54"/>
      <c r="AE221" s="54"/>
      <c r="AF221" s="131">
        <v>11</v>
      </c>
    </row>
    <row r="222" s="131" customFormat="1" ht="11.5" customHeight="1">
      <c r="A222" s="762"/>
      <c r="B222" s="57"/>
      <c r="C222" s="57"/>
      <c r="D222" s="131"/>
      <c r="K222" s="53"/>
      <c r="L222" s="57"/>
      <c r="M222" s="57"/>
      <c r="N222" s="53"/>
      <c r="O222" s="53"/>
      <c r="P222" s="53"/>
      <c r="Q222" s="53"/>
      <c r="R222" s="57"/>
      <c r="S222" s="53"/>
      <c r="T222" s="53"/>
      <c r="U222" s="763"/>
      <c r="V222" s="53"/>
      <c r="W222" s="53"/>
      <c r="X222" s="53"/>
      <c r="Y222" s="53"/>
      <c r="Z222" s="53"/>
      <c r="AA222" s="56"/>
      <c r="AB222" s="54"/>
      <c r="AC222" s="54"/>
      <c r="AD222" s="54"/>
      <c r="AE222" s="54"/>
      <c r="AF222" s="131">
        <v>11</v>
      </c>
    </row>
    <row r="223" s="131" customFormat="1" ht="11.5" customHeight="1">
      <c r="A223" s="762"/>
      <c r="B223" s="57"/>
      <c r="C223" s="57"/>
      <c r="D223" s="131"/>
      <c r="K223" s="53"/>
      <c r="L223" s="57"/>
      <c r="M223" s="57"/>
      <c r="N223" s="53"/>
      <c r="O223" s="53"/>
      <c r="P223" s="53"/>
      <c r="Q223" s="53"/>
      <c r="R223" s="57"/>
      <c r="S223" s="53"/>
      <c r="T223" s="53"/>
      <c r="U223" s="763"/>
      <c r="V223" s="53"/>
      <c r="W223" s="53"/>
      <c r="X223" s="53"/>
      <c r="Y223" s="53"/>
      <c r="Z223" s="53"/>
      <c r="AA223" s="56"/>
      <c r="AB223" s="54"/>
      <c r="AC223" s="54"/>
      <c r="AD223" s="54"/>
      <c r="AE223" s="54"/>
      <c r="AF223" s="131">
        <v>11</v>
      </c>
    </row>
    <row r="224" s="131" customFormat="1" ht="11.5" customHeight="1">
      <c r="A224" s="762"/>
      <c r="B224" s="57"/>
      <c r="C224" s="57"/>
      <c r="D224" s="131"/>
      <c r="K224" s="53"/>
      <c r="L224" s="57"/>
      <c r="M224" s="57"/>
      <c r="N224" s="53"/>
      <c r="O224" s="53"/>
      <c r="P224" s="53"/>
      <c r="Q224" s="53"/>
      <c r="R224" s="57"/>
      <c r="S224" s="53"/>
      <c r="T224" s="53"/>
      <c r="U224" s="763"/>
      <c r="V224" s="53"/>
      <c r="W224" s="53"/>
      <c r="X224" s="53"/>
      <c r="Y224" s="53"/>
      <c r="Z224" s="53"/>
      <c r="AA224" s="56"/>
      <c r="AB224" s="54"/>
      <c r="AC224" s="54"/>
      <c r="AD224" s="54"/>
      <c r="AE224" s="54"/>
      <c r="AF224" s="131">
        <v>11</v>
      </c>
    </row>
    <row r="225" s="131" customFormat="1" ht="11.5" customHeight="1">
      <c r="A225" s="762"/>
      <c r="B225" s="57"/>
      <c r="C225" s="57"/>
      <c r="D225" s="131"/>
      <c r="K225" s="53"/>
      <c r="L225" s="57"/>
      <c r="M225" s="57"/>
      <c r="N225" s="53"/>
      <c r="O225" s="53"/>
      <c r="P225" s="53"/>
      <c r="Q225" s="53"/>
      <c r="R225" s="57"/>
      <c r="S225" s="53"/>
      <c r="T225" s="53"/>
      <c r="U225" s="763"/>
      <c r="V225" s="53"/>
      <c r="W225" s="53"/>
      <c r="X225" s="53"/>
      <c r="Y225" s="53"/>
      <c r="Z225" s="53"/>
      <c r="AA225" s="56"/>
      <c r="AB225" s="54"/>
      <c r="AC225" s="54"/>
      <c r="AD225" s="54"/>
      <c r="AE225" s="54"/>
      <c r="AF225" s="131">
        <v>11</v>
      </c>
    </row>
    <row r="226" s="131" customFormat="1" ht="11.5" customHeight="1">
      <c r="A226" s="762"/>
      <c r="B226" s="57"/>
      <c r="C226" s="57"/>
      <c r="D226" s="131"/>
      <c r="K226" s="53"/>
      <c r="L226" s="57"/>
      <c r="M226" s="57"/>
      <c r="N226" s="53"/>
      <c r="O226" s="53"/>
      <c r="P226" s="53"/>
      <c r="Q226" s="53"/>
      <c r="R226" s="57"/>
      <c r="S226" s="53"/>
      <c r="T226" s="53"/>
      <c r="U226" s="763"/>
      <c r="V226" s="53"/>
      <c r="W226" s="53"/>
      <c r="X226" s="53"/>
      <c r="Y226" s="53"/>
      <c r="Z226" s="53"/>
      <c r="AA226" s="56"/>
      <c r="AB226" s="54"/>
      <c r="AC226" s="54"/>
      <c r="AD226" s="54"/>
      <c r="AE226" s="54"/>
      <c r="AF226" s="131">
        <v>11</v>
      </c>
    </row>
    <row r="227" s="131" customFormat="1" ht="11.5" customHeight="1">
      <c r="A227" s="762"/>
      <c r="B227" s="57"/>
      <c r="C227" s="57"/>
      <c r="D227" s="131"/>
      <c r="K227" s="53"/>
      <c r="L227" s="57"/>
      <c r="M227" s="57"/>
      <c r="N227" s="53"/>
      <c r="O227" s="53"/>
      <c r="P227" s="53"/>
      <c r="Q227" s="53"/>
      <c r="R227" s="57"/>
      <c r="S227" s="53"/>
      <c r="T227" s="53"/>
      <c r="U227" s="763"/>
      <c r="V227" s="53"/>
      <c r="W227" s="53"/>
      <c r="X227" s="53"/>
      <c r="Y227" s="53"/>
      <c r="Z227" s="53"/>
      <c r="AA227" s="56"/>
      <c r="AB227" s="54"/>
      <c r="AC227" s="54"/>
      <c r="AD227" s="54"/>
      <c r="AE227" s="54"/>
      <c r="AF227" s="131">
        <v>11</v>
      </c>
    </row>
    <row r="228" s="131" customFormat="1" ht="11.5" customHeight="1">
      <c r="A228" s="762"/>
      <c r="B228" s="57"/>
      <c r="C228" s="57"/>
      <c r="D228" s="131"/>
      <c r="K228" s="53"/>
      <c r="L228" s="57"/>
      <c r="M228" s="57"/>
      <c r="N228" s="53"/>
      <c r="O228" s="53"/>
      <c r="P228" s="53"/>
      <c r="Q228" s="53"/>
      <c r="R228" s="57"/>
      <c r="S228" s="53"/>
      <c r="T228" s="53"/>
      <c r="U228" s="763"/>
      <c r="V228" s="53"/>
      <c r="W228" s="53"/>
      <c r="X228" s="53"/>
      <c r="Y228" s="53"/>
      <c r="Z228" s="53"/>
      <c r="AA228" s="56"/>
      <c r="AB228" s="54"/>
      <c r="AC228" s="54"/>
      <c r="AD228" s="54"/>
      <c r="AE228" s="54"/>
      <c r="AF228" s="131">
        <v>11</v>
      </c>
    </row>
    <row r="229" s="131" customFormat="1" ht="11.5" customHeight="1">
      <c r="A229" s="762"/>
      <c r="B229" s="57"/>
      <c r="C229" s="57"/>
      <c r="D229" s="131"/>
      <c r="K229" s="53"/>
      <c r="L229" s="57"/>
      <c r="M229" s="57"/>
      <c r="N229" s="53"/>
      <c r="O229" s="53"/>
      <c r="P229" s="53"/>
      <c r="Q229" s="53"/>
      <c r="R229" s="57"/>
      <c r="S229" s="53"/>
      <c r="T229" s="53"/>
      <c r="U229" s="763"/>
      <c r="V229" s="53"/>
      <c r="W229" s="53"/>
      <c r="X229" s="53"/>
      <c r="Y229" s="53"/>
      <c r="Z229" s="53"/>
      <c r="AA229" s="56"/>
      <c r="AB229" s="54"/>
      <c r="AC229" s="54"/>
      <c r="AD229" s="54"/>
      <c r="AE229" s="54"/>
      <c r="AF229" s="131">
        <v>11</v>
      </c>
    </row>
    <row r="230" s="131" customFormat="1" ht="11.5" customHeight="1">
      <c r="A230" s="762"/>
      <c r="B230" s="57"/>
      <c r="C230" s="57"/>
      <c r="D230" s="131"/>
      <c r="K230" s="53"/>
      <c r="L230" s="57"/>
      <c r="M230" s="57"/>
      <c r="N230" s="53"/>
      <c r="O230" s="53"/>
      <c r="P230" s="53"/>
      <c r="Q230" s="53"/>
      <c r="R230" s="57"/>
      <c r="S230" s="53"/>
      <c r="T230" s="53"/>
      <c r="U230" s="763"/>
      <c r="V230" s="53"/>
      <c r="W230" s="53"/>
      <c r="X230" s="53"/>
      <c r="Y230" s="53"/>
      <c r="Z230" s="53"/>
      <c r="AA230" s="56"/>
      <c r="AB230" s="54"/>
      <c r="AC230" s="54"/>
      <c r="AD230" s="54"/>
      <c r="AE230" s="54"/>
      <c r="AF230" s="131">
        <v>11</v>
      </c>
    </row>
    <row r="231" s="131" customFormat="1" ht="11.5" customHeight="1">
      <c r="A231" s="762"/>
      <c r="B231" s="57"/>
      <c r="C231" s="57"/>
      <c r="D231" s="131"/>
      <c r="K231" s="53"/>
      <c r="L231" s="57"/>
      <c r="M231" s="57"/>
      <c r="N231" s="53"/>
      <c r="O231" s="53"/>
      <c r="P231" s="53"/>
      <c r="Q231" s="53"/>
      <c r="R231" s="57"/>
      <c r="S231" s="53"/>
      <c r="T231" s="53"/>
      <c r="U231" s="763"/>
      <c r="V231" s="53"/>
      <c r="W231" s="53"/>
      <c r="X231" s="53"/>
      <c r="Y231" s="53"/>
      <c r="Z231" s="53"/>
      <c r="AA231" s="56"/>
      <c r="AB231" s="54"/>
      <c r="AC231" s="54"/>
      <c r="AD231" s="54"/>
      <c r="AE231" s="54"/>
      <c r="AF231" s="131">
        <v>11</v>
      </c>
    </row>
    <row r="232" s="131" customFormat="1" ht="11.5" customHeight="1">
      <c r="A232" s="762"/>
      <c r="B232" s="57"/>
      <c r="C232" s="57"/>
      <c r="D232" s="131"/>
      <c r="K232" s="53"/>
      <c r="L232" s="57"/>
      <c r="M232" s="57"/>
      <c r="N232" s="53"/>
      <c r="O232" s="53"/>
      <c r="P232" s="53"/>
      <c r="Q232" s="53"/>
      <c r="R232" s="57"/>
      <c r="S232" s="53"/>
      <c r="T232" s="53"/>
      <c r="U232" s="763"/>
      <c r="V232" s="53"/>
      <c r="W232" s="53"/>
      <c r="X232" s="53"/>
      <c r="Y232" s="53"/>
      <c r="Z232" s="53"/>
      <c r="AA232" s="56"/>
      <c r="AB232" s="54"/>
      <c r="AC232" s="54"/>
      <c r="AD232" s="54"/>
      <c r="AE232" s="54"/>
      <c r="AF232" s="131">
        <v>11</v>
      </c>
    </row>
    <row r="233" s="131" customFormat="1" ht="11.5" customHeight="1">
      <c r="A233" s="762"/>
      <c r="B233" s="57"/>
      <c r="C233" s="57"/>
      <c r="D233" s="131"/>
      <c r="K233" s="53"/>
      <c r="L233" s="57"/>
      <c r="M233" s="57"/>
      <c r="N233" s="53"/>
      <c r="O233" s="53"/>
      <c r="P233" s="53"/>
      <c r="Q233" s="53"/>
      <c r="R233" s="57"/>
      <c r="S233" s="53"/>
      <c r="T233" s="53"/>
      <c r="U233" s="763"/>
      <c r="V233" s="53"/>
      <c r="W233" s="53"/>
      <c r="X233" s="53"/>
      <c r="Y233" s="53"/>
      <c r="Z233" s="53"/>
      <c r="AA233" s="56"/>
      <c r="AB233" s="54"/>
      <c r="AC233" s="54"/>
      <c r="AD233" s="54"/>
      <c r="AE233" s="54"/>
      <c r="AF233" s="131">
        <v>11</v>
      </c>
    </row>
    <row r="234" s="131" customFormat="1" ht="11.5" customHeight="1">
      <c r="A234" s="762"/>
      <c r="B234" s="57"/>
      <c r="C234" s="57"/>
      <c r="D234" s="131"/>
      <c r="K234" s="53"/>
      <c r="L234" s="57"/>
      <c r="M234" s="57"/>
      <c r="N234" s="53"/>
      <c r="O234" s="53"/>
      <c r="P234" s="53"/>
      <c r="Q234" s="53"/>
      <c r="R234" s="57"/>
      <c r="S234" s="53"/>
      <c r="T234" s="53"/>
      <c r="U234" s="763"/>
      <c r="V234" s="53"/>
      <c r="W234" s="53"/>
      <c r="X234" s="53"/>
      <c r="Y234" s="53"/>
      <c r="Z234" s="53"/>
      <c r="AA234" s="56"/>
      <c r="AB234" s="54"/>
      <c r="AC234" s="54"/>
      <c r="AD234" s="54"/>
      <c r="AE234" s="54"/>
      <c r="AF234" s="131">
        <v>11</v>
      </c>
    </row>
    <row r="235" s="131" customFormat="1" ht="11.5" customHeight="1">
      <c r="A235" s="762"/>
      <c r="B235" s="57"/>
      <c r="C235" s="57"/>
      <c r="D235" s="131"/>
      <c r="K235" s="53"/>
      <c r="L235" s="57"/>
      <c r="M235" s="57"/>
      <c r="N235" s="53"/>
      <c r="O235" s="53"/>
      <c r="P235" s="53"/>
      <c r="Q235" s="53"/>
      <c r="R235" s="57"/>
      <c r="S235" s="53"/>
      <c r="T235" s="53"/>
      <c r="U235" s="763"/>
      <c r="V235" s="53"/>
      <c r="W235" s="53"/>
      <c r="X235" s="53"/>
      <c r="Y235" s="53"/>
      <c r="Z235" s="53"/>
      <c r="AA235" s="56"/>
      <c r="AB235" s="54"/>
      <c r="AC235" s="54"/>
      <c r="AD235" s="54"/>
      <c r="AE235" s="54"/>
      <c r="AF235" s="131">
        <v>11</v>
      </c>
    </row>
    <row r="236" s="131" customFormat="1" ht="11.5" customHeight="1">
      <c r="A236" s="762"/>
      <c r="B236" s="57"/>
      <c r="C236" s="57"/>
      <c r="D236" s="131"/>
      <c r="K236" s="53"/>
      <c r="L236" s="57"/>
      <c r="M236" s="57"/>
      <c r="N236" s="53"/>
      <c r="O236" s="53"/>
      <c r="P236" s="53"/>
      <c r="Q236" s="53"/>
      <c r="R236" s="57"/>
      <c r="S236" s="53"/>
      <c r="T236" s="53"/>
      <c r="U236" s="763"/>
      <c r="V236" s="53"/>
      <c r="W236" s="53"/>
      <c r="X236" s="53"/>
      <c r="Y236" s="53"/>
      <c r="Z236" s="53"/>
      <c r="AA236" s="56"/>
      <c r="AB236" s="54"/>
      <c r="AC236" s="54"/>
      <c r="AD236" s="54"/>
      <c r="AE236" s="54"/>
      <c r="AF236" s="131">
        <v>11</v>
      </c>
    </row>
    <row r="237" s="131" customFormat="1" ht="11.5" customHeight="1">
      <c r="A237" s="762"/>
      <c r="B237" s="57"/>
      <c r="C237" s="57"/>
      <c r="D237" s="131"/>
      <c r="K237" s="53"/>
      <c r="L237" s="57"/>
      <c r="M237" s="57"/>
      <c r="N237" s="53"/>
      <c r="O237" s="53"/>
      <c r="P237" s="53"/>
      <c r="Q237" s="53"/>
      <c r="R237" s="57"/>
      <c r="S237" s="53"/>
      <c r="T237" s="53"/>
      <c r="U237" s="763"/>
      <c r="V237" s="53"/>
      <c r="W237" s="53"/>
      <c r="X237" s="53"/>
      <c r="Y237" s="53"/>
      <c r="Z237" s="53"/>
      <c r="AA237" s="56"/>
      <c r="AB237" s="54"/>
      <c r="AC237" s="54"/>
      <c r="AD237" s="54"/>
      <c r="AE237" s="54"/>
      <c r="AF237" s="131">
        <v>11</v>
      </c>
    </row>
    <row r="238" s="131" customFormat="1" ht="11.5" customHeight="1">
      <c r="A238" s="762"/>
      <c r="B238" s="57"/>
      <c r="C238" s="57"/>
      <c r="D238" s="131"/>
      <c r="K238" s="53"/>
      <c r="L238" s="57"/>
      <c r="M238" s="57"/>
      <c r="N238" s="53"/>
      <c r="O238" s="53"/>
      <c r="P238" s="53"/>
      <c r="Q238" s="53"/>
      <c r="R238" s="57"/>
      <c r="S238" s="53"/>
      <c r="T238" s="53"/>
      <c r="U238" s="763"/>
      <c r="V238" s="53"/>
      <c r="W238" s="53"/>
      <c r="X238" s="53"/>
      <c r="Y238" s="53"/>
      <c r="Z238" s="53"/>
      <c r="AA238" s="56"/>
      <c r="AB238" s="54"/>
      <c r="AC238" s="54"/>
      <c r="AD238" s="54"/>
      <c r="AE238" s="54"/>
      <c r="AF238" s="131">
        <v>11</v>
      </c>
    </row>
    <row r="239" s="131" customFormat="1" ht="11.5" customHeight="1">
      <c r="A239" s="762"/>
      <c r="B239" s="57"/>
      <c r="C239" s="57"/>
      <c r="D239" s="131"/>
      <c r="K239" s="53"/>
      <c r="L239" s="57"/>
      <c r="M239" s="57"/>
      <c r="N239" s="53"/>
      <c r="O239" s="53"/>
      <c r="P239" s="53"/>
      <c r="Q239" s="53"/>
      <c r="R239" s="57"/>
      <c r="S239" s="53"/>
      <c r="T239" s="53"/>
      <c r="U239" s="763"/>
      <c r="V239" s="53"/>
      <c r="W239" s="53"/>
      <c r="X239" s="53"/>
      <c r="Y239" s="53"/>
      <c r="Z239" s="53"/>
      <c r="AA239" s="56"/>
      <c r="AB239" s="54"/>
      <c r="AC239" s="54"/>
      <c r="AD239" s="54"/>
      <c r="AE239" s="54"/>
      <c r="AF239" s="131">
        <v>11</v>
      </c>
    </row>
    <row r="240" s="131" customFormat="1" ht="11.5" customHeight="1">
      <c r="A240" s="762"/>
      <c r="B240" s="57"/>
      <c r="C240" s="57"/>
      <c r="D240" s="131"/>
      <c r="K240" s="53"/>
      <c r="L240" s="57"/>
      <c r="M240" s="57"/>
      <c r="N240" s="53"/>
      <c r="O240" s="53"/>
      <c r="P240" s="53"/>
      <c r="Q240" s="53"/>
      <c r="R240" s="57"/>
      <c r="S240" s="53"/>
      <c r="T240" s="53"/>
      <c r="U240" s="763"/>
      <c r="V240" s="53"/>
      <c r="W240" s="53"/>
      <c r="X240" s="53"/>
      <c r="Y240" s="53"/>
      <c r="Z240" s="53"/>
      <c r="AA240" s="56"/>
      <c r="AB240" s="54"/>
      <c r="AC240" s="54"/>
      <c r="AD240" s="54"/>
      <c r="AE240" s="54"/>
      <c r="AF240" s="131">
        <v>11</v>
      </c>
    </row>
    <row r="241" s="131" customFormat="1" ht="11.5" customHeight="1">
      <c r="A241" s="762"/>
      <c r="B241" s="57"/>
      <c r="C241" s="57"/>
      <c r="D241" s="131"/>
      <c r="K241" s="53"/>
      <c r="L241" s="57"/>
      <c r="M241" s="57"/>
      <c r="N241" s="53"/>
      <c r="O241" s="53"/>
      <c r="P241" s="53"/>
      <c r="Q241" s="53"/>
      <c r="R241" s="57"/>
      <c r="S241" s="53"/>
      <c r="T241" s="53"/>
      <c r="U241" s="763"/>
      <c r="V241" s="53"/>
      <c r="W241" s="53"/>
      <c r="X241" s="53"/>
      <c r="Y241" s="53"/>
      <c r="Z241" s="53"/>
      <c r="AA241" s="56"/>
      <c r="AB241" s="54"/>
      <c r="AC241" s="54"/>
      <c r="AD241" s="54"/>
      <c r="AE241" s="54"/>
      <c r="AF241" s="131">
        <v>11</v>
      </c>
    </row>
    <row r="242" s="131" customFormat="1" ht="11.5" customHeight="1">
      <c r="A242" s="762"/>
      <c r="B242" s="57"/>
      <c r="C242" s="57"/>
      <c r="D242" s="131"/>
      <c r="K242" s="53"/>
      <c r="L242" s="57"/>
      <c r="M242" s="57"/>
      <c r="N242" s="53"/>
      <c r="O242" s="53"/>
      <c r="P242" s="53"/>
      <c r="Q242" s="53"/>
      <c r="R242" s="57"/>
      <c r="S242" s="53"/>
      <c r="T242" s="53"/>
      <c r="U242" s="763"/>
      <c r="V242" s="53"/>
      <c r="W242" s="53"/>
      <c r="X242" s="53"/>
      <c r="Y242" s="53"/>
      <c r="Z242" s="53"/>
      <c r="AA242" s="56"/>
      <c r="AB242" s="54"/>
      <c r="AC242" s="54"/>
      <c r="AD242" s="54"/>
      <c r="AE242" s="54"/>
      <c r="AF242" s="131">
        <v>11</v>
      </c>
    </row>
    <row r="243" s="131" customFormat="1" ht="11.5" customHeight="1">
      <c r="A243" s="762"/>
      <c r="B243" s="57"/>
      <c r="C243" s="57"/>
      <c r="D243" s="131"/>
      <c r="K243" s="53"/>
      <c r="L243" s="57"/>
      <c r="M243" s="57"/>
      <c r="N243" s="53"/>
      <c r="O243" s="53"/>
      <c r="P243" s="53"/>
      <c r="Q243" s="53"/>
      <c r="R243" s="57"/>
      <c r="S243" s="53"/>
      <c r="T243" s="53"/>
      <c r="U243" s="763"/>
      <c r="V243" s="53"/>
      <c r="W243" s="53"/>
      <c r="X243" s="53"/>
      <c r="Y243" s="53"/>
      <c r="Z243" s="53"/>
      <c r="AA243" s="56"/>
      <c r="AB243" s="54"/>
      <c r="AC243" s="54"/>
      <c r="AD243" s="54"/>
      <c r="AE243" s="54"/>
      <c r="AF243" s="131">
        <v>11</v>
      </c>
    </row>
    <row r="244" s="131" customFormat="1" ht="11.5" customHeight="1">
      <c r="A244" s="762"/>
      <c r="B244" s="57"/>
      <c r="C244" s="57"/>
      <c r="D244" s="131"/>
      <c r="K244" s="53"/>
      <c r="L244" s="57"/>
      <c r="M244" s="57"/>
      <c r="N244" s="53"/>
      <c r="O244" s="53"/>
      <c r="P244" s="53"/>
      <c r="Q244" s="53"/>
      <c r="R244" s="57"/>
      <c r="S244" s="53"/>
      <c r="T244" s="53"/>
      <c r="U244" s="763"/>
      <c r="V244" s="53"/>
      <c r="W244" s="53"/>
      <c r="X244" s="53"/>
      <c r="Y244" s="53"/>
      <c r="Z244" s="53"/>
      <c r="AA244" s="56"/>
      <c r="AB244" s="54"/>
      <c r="AC244" s="54"/>
      <c r="AD244" s="54"/>
      <c r="AE244" s="54"/>
      <c r="AF244" s="131">
        <v>11</v>
      </c>
    </row>
    <row r="245" s="131" customFormat="1" ht="11.5" customHeight="1">
      <c r="A245" s="762"/>
      <c r="B245" s="57"/>
      <c r="C245" s="57"/>
      <c r="D245" s="131"/>
      <c r="K245" s="53"/>
      <c r="L245" s="57"/>
      <c r="M245" s="57"/>
      <c r="N245" s="53"/>
      <c r="O245" s="53"/>
      <c r="P245" s="53"/>
      <c r="Q245" s="53"/>
      <c r="R245" s="57"/>
      <c r="S245" s="53"/>
      <c r="T245" s="53"/>
      <c r="U245" s="763"/>
      <c r="V245" s="53"/>
      <c r="W245" s="53"/>
      <c r="X245" s="53"/>
      <c r="Y245" s="53"/>
      <c r="Z245" s="53"/>
      <c r="AA245" s="56"/>
      <c r="AB245" s="54"/>
      <c r="AC245" s="54"/>
      <c r="AD245" s="54"/>
      <c r="AE245" s="54"/>
      <c r="AF245" s="131">
        <v>11</v>
      </c>
    </row>
    <row r="246" s="131" customFormat="1" ht="11.5" customHeight="1">
      <c r="A246" s="762"/>
      <c r="B246" s="57"/>
      <c r="C246" s="57"/>
      <c r="D246" s="131"/>
      <c r="K246" s="53"/>
      <c r="L246" s="57"/>
      <c r="M246" s="57"/>
      <c r="N246" s="53"/>
      <c r="O246" s="53"/>
      <c r="P246" s="53"/>
      <c r="Q246" s="53"/>
      <c r="R246" s="57"/>
      <c r="S246" s="53"/>
      <c r="T246" s="53"/>
      <c r="U246" s="763"/>
      <c r="V246" s="53"/>
      <c r="W246" s="53"/>
      <c r="X246" s="53"/>
      <c r="Y246" s="53"/>
      <c r="Z246" s="53"/>
      <c r="AA246" s="56"/>
      <c r="AB246" s="54"/>
      <c r="AC246" s="54"/>
      <c r="AD246" s="54"/>
      <c r="AE246" s="54"/>
      <c r="AF246" s="131">
        <v>11</v>
      </c>
    </row>
    <row r="247" s="131" customFormat="1" ht="11.5" customHeight="1">
      <c r="A247" s="762"/>
      <c r="B247" s="57"/>
      <c r="C247" s="57"/>
      <c r="D247" s="131"/>
      <c r="K247" s="53"/>
      <c r="L247" s="57"/>
      <c r="M247" s="57"/>
      <c r="N247" s="53"/>
      <c r="O247" s="53"/>
      <c r="P247" s="53"/>
      <c r="Q247" s="53"/>
      <c r="R247" s="57"/>
      <c r="S247" s="53"/>
      <c r="T247" s="53"/>
      <c r="U247" s="763"/>
      <c r="V247" s="53"/>
      <c r="W247" s="53"/>
      <c r="X247" s="53"/>
      <c r="Y247" s="53"/>
      <c r="Z247" s="53"/>
      <c r="AA247" s="56"/>
      <c r="AB247" s="54"/>
      <c r="AC247" s="54"/>
      <c r="AD247" s="54"/>
      <c r="AE247" s="54"/>
      <c r="AF247" s="131">
        <v>11</v>
      </c>
    </row>
    <row r="248" s="131" customFormat="1" ht="11.5" customHeight="1">
      <c r="A248" s="762"/>
      <c r="B248" s="57"/>
      <c r="C248" s="57"/>
      <c r="D248" s="131"/>
      <c r="K248" s="53"/>
      <c r="L248" s="57"/>
      <c r="M248" s="57"/>
      <c r="N248" s="53"/>
      <c r="O248" s="53"/>
      <c r="P248" s="53"/>
      <c r="Q248" s="53"/>
      <c r="R248" s="57"/>
      <c r="S248" s="53"/>
      <c r="T248" s="53"/>
      <c r="U248" s="763"/>
      <c r="V248" s="53"/>
      <c r="W248" s="53"/>
      <c r="X248" s="53"/>
      <c r="Y248" s="53"/>
      <c r="Z248" s="53"/>
      <c r="AA248" s="56"/>
      <c r="AB248" s="54"/>
      <c r="AC248" s="54"/>
      <c r="AD248" s="54"/>
      <c r="AE248" s="54"/>
      <c r="AF248" s="131">
        <v>11</v>
      </c>
    </row>
    <row r="249" s="131" customFormat="1" ht="11.5" customHeight="1">
      <c r="A249" s="762"/>
      <c r="B249" s="57"/>
      <c r="C249" s="57"/>
      <c r="D249" s="131"/>
      <c r="K249" s="53"/>
      <c r="L249" s="57"/>
      <c r="M249" s="57"/>
      <c r="N249" s="53"/>
      <c r="O249" s="53"/>
      <c r="P249" s="53"/>
      <c r="Q249" s="53"/>
      <c r="R249" s="57"/>
      <c r="S249" s="53"/>
      <c r="T249" s="53"/>
      <c r="U249" s="763"/>
      <c r="V249" s="53"/>
      <c r="W249" s="53"/>
      <c r="X249" s="53"/>
      <c r="Y249" s="53"/>
      <c r="Z249" s="53"/>
      <c r="AA249" s="56"/>
      <c r="AB249" s="54"/>
      <c r="AC249" s="54"/>
      <c r="AD249" s="54"/>
      <c r="AE249" s="54"/>
      <c r="AF249" s="131">
        <v>11</v>
      </c>
    </row>
    <row r="250" s="131" customFormat="1" ht="11.5" customHeight="1">
      <c r="A250" s="762"/>
      <c r="B250" s="57"/>
      <c r="C250" s="57"/>
      <c r="D250" s="131"/>
      <c r="K250" s="53"/>
      <c r="L250" s="57"/>
      <c r="M250" s="57"/>
      <c r="N250" s="53"/>
      <c r="O250" s="53"/>
      <c r="P250" s="53"/>
      <c r="Q250" s="53"/>
      <c r="R250" s="57"/>
      <c r="S250" s="53"/>
      <c r="T250" s="53"/>
      <c r="U250" s="763"/>
      <c r="V250" s="53"/>
      <c r="W250" s="53"/>
      <c r="X250" s="53"/>
      <c r="Y250" s="53"/>
      <c r="Z250" s="53"/>
      <c r="AA250" s="56"/>
      <c r="AB250" s="54"/>
      <c r="AC250" s="54"/>
      <c r="AD250" s="54"/>
      <c r="AE250" s="54"/>
      <c r="AF250" s="131">
        <v>11</v>
      </c>
    </row>
    <row r="251" s="131" customFormat="1" ht="11.5" customHeight="1">
      <c r="A251" s="762"/>
      <c r="B251" s="57"/>
      <c r="C251" s="57"/>
      <c r="D251" s="131"/>
      <c r="K251" s="53"/>
      <c r="L251" s="57"/>
      <c r="M251" s="57"/>
      <c r="N251" s="53"/>
      <c r="O251" s="53"/>
      <c r="P251" s="53"/>
      <c r="Q251" s="53"/>
      <c r="R251" s="57"/>
      <c r="S251" s="53"/>
      <c r="T251" s="53"/>
      <c r="U251" s="763"/>
      <c r="V251" s="53"/>
      <c r="W251" s="53"/>
      <c r="X251" s="53"/>
      <c r="Y251" s="53"/>
      <c r="Z251" s="53"/>
      <c r="AA251" s="56"/>
      <c r="AB251" s="54"/>
      <c r="AC251" s="54"/>
      <c r="AD251" s="54"/>
      <c r="AE251" s="54"/>
      <c r="AF251" s="131">
        <v>11</v>
      </c>
    </row>
    <row r="252" s="131" customFormat="1" ht="11.5" customHeight="1">
      <c r="A252" s="762"/>
      <c r="B252" s="57"/>
      <c r="C252" s="57"/>
      <c r="D252" s="131"/>
      <c r="K252" s="53"/>
      <c r="L252" s="57"/>
      <c r="M252" s="57"/>
      <c r="N252" s="53"/>
      <c r="O252" s="53"/>
      <c r="P252" s="53"/>
      <c r="Q252" s="53"/>
      <c r="R252" s="57"/>
      <c r="S252" s="53"/>
      <c r="T252" s="53"/>
      <c r="U252" s="763"/>
      <c r="V252" s="53"/>
      <c r="W252" s="53"/>
      <c r="X252" s="53"/>
      <c r="Y252" s="53"/>
      <c r="Z252" s="53"/>
      <c r="AA252" s="56"/>
      <c r="AB252" s="54"/>
      <c r="AC252" s="54"/>
      <c r="AD252" s="54"/>
      <c r="AE252" s="54"/>
      <c r="AF252" s="131">
        <v>11</v>
      </c>
    </row>
    <row r="253" s="131" customFormat="1" ht="11.5" customHeight="1">
      <c r="A253" s="762"/>
      <c r="B253" s="57"/>
      <c r="C253" s="57"/>
      <c r="D253" s="131"/>
      <c r="K253" s="53"/>
      <c r="L253" s="57"/>
      <c r="M253" s="57"/>
      <c r="N253" s="53"/>
      <c r="O253" s="53"/>
      <c r="P253" s="53"/>
      <c r="Q253" s="53"/>
      <c r="R253" s="57"/>
      <c r="S253" s="53"/>
      <c r="T253" s="53"/>
      <c r="U253" s="763"/>
      <c r="V253" s="53"/>
      <c r="W253" s="53"/>
      <c r="X253" s="53"/>
      <c r="Y253" s="53"/>
      <c r="Z253" s="53"/>
      <c r="AA253" s="56"/>
      <c r="AB253" s="54"/>
      <c r="AC253" s="54"/>
      <c r="AD253" s="54"/>
      <c r="AE253" s="54"/>
      <c r="AF253" s="131">
        <v>11</v>
      </c>
    </row>
    <row r="254" s="131" customFormat="1" ht="11.5" customHeight="1">
      <c r="A254" s="762"/>
      <c r="B254" s="57"/>
      <c r="C254" s="57"/>
      <c r="D254" s="131"/>
      <c r="K254" s="53"/>
      <c r="L254" s="57"/>
      <c r="M254" s="57"/>
      <c r="N254" s="53"/>
      <c r="O254" s="53"/>
      <c r="P254" s="53"/>
      <c r="Q254" s="53"/>
      <c r="R254" s="57"/>
      <c r="S254" s="53"/>
      <c r="T254" s="53"/>
      <c r="U254" s="763"/>
      <c r="V254" s="53"/>
      <c r="W254" s="53"/>
      <c r="X254" s="53"/>
      <c r="Y254" s="53"/>
      <c r="Z254" s="53"/>
      <c r="AA254" s="56"/>
      <c r="AB254" s="54"/>
      <c r="AC254" s="54"/>
      <c r="AD254" s="54"/>
      <c r="AE254" s="54"/>
      <c r="AF254" s="131">
        <v>11</v>
      </c>
    </row>
    <row r="255" s="131" customFormat="1" ht="11.5" customHeight="1">
      <c r="A255" s="762"/>
      <c r="B255" s="57"/>
      <c r="C255" s="57"/>
      <c r="D255" s="131"/>
      <c r="K255" s="53"/>
      <c r="L255" s="57"/>
      <c r="M255" s="57"/>
      <c r="N255" s="53"/>
      <c r="O255" s="53"/>
      <c r="P255" s="53"/>
      <c r="Q255" s="53"/>
      <c r="R255" s="57"/>
      <c r="S255" s="53"/>
      <c r="T255" s="53"/>
      <c r="U255" s="763"/>
      <c r="V255" s="53"/>
      <c r="W255" s="53"/>
      <c r="X255" s="53"/>
      <c r="Y255" s="53"/>
      <c r="Z255" s="53"/>
      <c r="AA255" s="56"/>
      <c r="AB255" s="54"/>
      <c r="AC255" s="54"/>
      <c r="AD255" s="54"/>
      <c r="AE255" s="54"/>
      <c r="AF255" s="131">
        <v>11</v>
      </c>
    </row>
    <row r="256" s="131" customFormat="1" ht="11.5" customHeight="1">
      <c r="A256" s="762"/>
      <c r="B256" s="57"/>
      <c r="C256" s="57"/>
      <c r="D256" s="131"/>
      <c r="K256" s="53"/>
      <c r="L256" s="57"/>
      <c r="M256" s="57"/>
      <c r="N256" s="53"/>
      <c r="O256" s="53"/>
      <c r="P256" s="53"/>
      <c r="Q256" s="53"/>
      <c r="R256" s="57"/>
      <c r="S256" s="53"/>
      <c r="T256" s="53"/>
      <c r="U256" s="763"/>
      <c r="V256" s="53"/>
      <c r="W256" s="53"/>
      <c r="X256" s="53"/>
      <c r="Y256" s="53"/>
      <c r="Z256" s="53"/>
      <c r="AA256" s="56"/>
      <c r="AB256" s="54"/>
      <c r="AC256" s="54"/>
      <c r="AD256" s="54"/>
      <c r="AE256" s="54"/>
      <c r="AF256" s="131">
        <v>11</v>
      </c>
    </row>
    <row r="257" s="131" customFormat="1" ht="11.5" customHeight="1">
      <c r="A257" s="762"/>
      <c r="B257" s="57"/>
      <c r="C257" s="57"/>
      <c r="D257" s="131"/>
      <c r="K257" s="53"/>
      <c r="L257" s="57"/>
      <c r="M257" s="57"/>
      <c r="N257" s="53"/>
      <c r="O257" s="53"/>
      <c r="P257" s="53"/>
      <c r="Q257" s="53"/>
      <c r="R257" s="57"/>
      <c r="S257" s="53"/>
      <c r="T257" s="53"/>
      <c r="U257" s="763"/>
      <c r="V257" s="53"/>
      <c r="W257" s="53"/>
      <c r="X257" s="53"/>
      <c r="Y257" s="53"/>
      <c r="Z257" s="53"/>
      <c r="AA257" s="56"/>
      <c r="AB257" s="54"/>
      <c r="AC257" s="54"/>
      <c r="AD257" s="54"/>
      <c r="AE257" s="54"/>
      <c r="AF257" s="131">
        <v>11</v>
      </c>
    </row>
    <row r="258" s="131" customFormat="1" ht="11.5" customHeight="1">
      <c r="A258" s="762"/>
      <c r="B258" s="57"/>
      <c r="C258" s="57"/>
      <c r="D258" s="131"/>
      <c r="K258" s="53"/>
      <c r="L258" s="57"/>
      <c r="M258" s="57"/>
      <c r="N258" s="53"/>
      <c r="O258" s="53"/>
      <c r="P258" s="53"/>
      <c r="Q258" s="53"/>
      <c r="R258" s="57"/>
      <c r="S258" s="53"/>
      <c r="T258" s="53"/>
      <c r="U258" s="763"/>
      <c r="V258" s="53"/>
      <c r="W258" s="53"/>
      <c r="X258" s="53"/>
      <c r="Y258" s="53"/>
      <c r="Z258" s="53"/>
      <c r="AA258" s="56"/>
      <c r="AB258" s="54"/>
      <c r="AC258" s="54"/>
      <c r="AD258" s="54"/>
      <c r="AE258" s="54"/>
      <c r="AF258" s="131">
        <v>11</v>
      </c>
    </row>
    <row r="259" s="131" customFormat="1" ht="11.5" customHeight="1">
      <c r="A259" s="762"/>
      <c r="B259" s="57"/>
      <c r="C259" s="57"/>
      <c r="D259" s="131"/>
      <c r="K259" s="53"/>
      <c r="L259" s="57"/>
      <c r="M259" s="57"/>
      <c r="N259" s="53"/>
      <c r="O259" s="53"/>
      <c r="P259" s="53"/>
      <c r="Q259" s="53"/>
      <c r="R259" s="57"/>
      <c r="S259" s="53"/>
      <c r="T259" s="53"/>
      <c r="U259" s="763"/>
      <c r="V259" s="53"/>
      <c r="W259" s="53"/>
      <c r="X259" s="53"/>
      <c r="Y259" s="53"/>
      <c r="Z259" s="53"/>
      <c r="AA259" s="56"/>
      <c r="AB259" s="54"/>
      <c r="AC259" s="54"/>
      <c r="AD259" s="54"/>
      <c r="AE259" s="54"/>
      <c r="AF259" s="131">
        <v>11</v>
      </c>
    </row>
    <row r="260" s="131" customFormat="1" ht="11.5" customHeight="1">
      <c r="A260" s="762"/>
      <c r="B260" s="57"/>
      <c r="C260" s="57"/>
      <c r="D260" s="131"/>
      <c r="K260" s="53"/>
      <c r="L260" s="57"/>
      <c r="M260" s="57"/>
      <c r="N260" s="53"/>
      <c r="O260" s="53"/>
      <c r="P260" s="53"/>
      <c r="Q260" s="53"/>
      <c r="R260" s="57"/>
      <c r="S260" s="53"/>
      <c r="T260" s="53"/>
      <c r="U260" s="763"/>
      <c r="V260" s="53"/>
      <c r="W260" s="53"/>
      <c r="X260" s="53"/>
      <c r="Y260" s="53"/>
      <c r="Z260" s="53"/>
      <c r="AA260" s="56"/>
      <c r="AB260" s="54"/>
      <c r="AC260" s="54"/>
      <c r="AD260" s="54"/>
      <c r="AE260" s="54"/>
      <c r="AF260" s="131">
        <v>11</v>
      </c>
    </row>
    <row r="261" s="131" customFormat="1" ht="11.5" customHeight="1">
      <c r="A261" s="762"/>
      <c r="B261" s="57"/>
      <c r="C261" s="57"/>
      <c r="D261" s="131"/>
      <c r="K261" s="53"/>
      <c r="L261" s="57"/>
      <c r="M261" s="57"/>
      <c r="N261" s="53"/>
      <c r="O261" s="53"/>
      <c r="P261" s="53"/>
      <c r="Q261" s="53"/>
      <c r="R261" s="57"/>
      <c r="S261" s="53"/>
      <c r="T261" s="53"/>
      <c r="U261" s="763"/>
      <c r="V261" s="53"/>
      <c r="W261" s="53"/>
      <c r="X261" s="53"/>
      <c r="Y261" s="53"/>
      <c r="Z261" s="53"/>
      <c r="AA261" s="56"/>
      <c r="AB261" s="54"/>
      <c r="AC261" s="54"/>
      <c r="AD261" s="54"/>
      <c r="AE261" s="54"/>
      <c r="AF261" s="131">
        <v>11</v>
      </c>
    </row>
    <row r="262" s="131" customFormat="1" ht="11.5" customHeight="1">
      <c r="A262" s="762"/>
      <c r="B262" s="57"/>
      <c r="C262" s="57"/>
      <c r="D262" s="131"/>
      <c r="K262" s="53"/>
      <c r="L262" s="57"/>
      <c r="M262" s="57"/>
      <c r="N262" s="53"/>
      <c r="O262" s="53"/>
      <c r="P262" s="53"/>
      <c r="Q262" s="53"/>
      <c r="R262" s="57"/>
      <c r="S262" s="53"/>
      <c r="T262" s="53"/>
      <c r="U262" s="763"/>
      <c r="V262" s="53"/>
      <c r="W262" s="53"/>
      <c r="X262" s="53"/>
      <c r="Y262" s="53"/>
      <c r="Z262" s="53"/>
      <c r="AA262" s="56"/>
      <c r="AB262" s="54"/>
      <c r="AC262" s="54"/>
      <c r="AD262" s="54"/>
      <c r="AE262" s="54"/>
      <c r="AF262" s="131">
        <v>11</v>
      </c>
    </row>
    <row r="263" s="131" customFormat="1" ht="11.5" customHeight="1">
      <c r="A263" s="762"/>
      <c r="B263" s="57"/>
      <c r="C263" s="57"/>
      <c r="D263" s="131"/>
      <c r="K263" s="53"/>
      <c r="L263" s="57"/>
      <c r="M263" s="57"/>
      <c r="N263" s="53"/>
      <c r="O263" s="53"/>
      <c r="P263" s="53"/>
      <c r="Q263" s="53"/>
      <c r="R263" s="57"/>
      <c r="S263" s="53"/>
      <c r="T263" s="53"/>
      <c r="U263" s="763"/>
      <c r="V263" s="53"/>
      <c r="W263" s="53"/>
      <c r="X263" s="53"/>
      <c r="Y263" s="53"/>
      <c r="Z263" s="53"/>
      <c r="AA263" s="56"/>
      <c r="AB263" s="54"/>
      <c r="AC263" s="54"/>
      <c r="AD263" s="54"/>
      <c r="AE263" s="54"/>
      <c r="AF263" s="131">
        <v>11</v>
      </c>
    </row>
    <row r="264" s="131" customFormat="1" ht="11.5" customHeight="1">
      <c r="A264" s="762"/>
      <c r="B264" s="57"/>
      <c r="C264" s="57"/>
      <c r="D264" s="131"/>
      <c r="K264" s="53"/>
      <c r="L264" s="57"/>
      <c r="M264" s="57"/>
      <c r="N264" s="53"/>
      <c r="O264" s="53"/>
      <c r="P264" s="53"/>
      <c r="Q264" s="53"/>
      <c r="R264" s="57"/>
      <c r="S264" s="53"/>
      <c r="T264" s="53"/>
      <c r="U264" s="763"/>
      <c r="V264" s="53"/>
      <c r="W264" s="53"/>
      <c r="X264" s="53"/>
      <c r="Y264" s="53"/>
      <c r="Z264" s="53"/>
      <c r="AA264" s="56"/>
      <c r="AB264" s="54"/>
      <c r="AC264" s="54"/>
      <c r="AD264" s="54"/>
      <c r="AE264" s="54"/>
      <c r="AF264" s="131">
        <v>11</v>
      </c>
    </row>
    <row r="265" s="131" customFormat="1" ht="11.5" customHeight="1">
      <c r="A265" s="762"/>
      <c r="B265" s="57"/>
      <c r="C265" s="57"/>
      <c r="D265" s="131"/>
      <c r="K265" s="53"/>
      <c r="L265" s="57"/>
      <c r="M265" s="57"/>
      <c r="N265" s="53"/>
      <c r="O265" s="53"/>
      <c r="P265" s="53"/>
      <c r="Q265" s="53"/>
      <c r="R265" s="57"/>
      <c r="S265" s="53"/>
      <c r="T265" s="53"/>
      <c r="U265" s="763"/>
      <c r="V265" s="53"/>
      <c r="W265" s="53"/>
      <c r="X265" s="53"/>
      <c r="Y265" s="53"/>
      <c r="Z265" s="53"/>
      <c r="AA265" s="56"/>
      <c r="AB265" s="54"/>
      <c r="AC265" s="54"/>
      <c r="AD265" s="54"/>
      <c r="AE265" s="54"/>
      <c r="AF265" s="131">
        <v>11</v>
      </c>
    </row>
    <row r="266" s="131" customFormat="1" ht="11.5" customHeight="1">
      <c r="A266" s="762"/>
      <c r="B266" s="57"/>
      <c r="C266" s="57"/>
      <c r="D266" s="131"/>
      <c r="K266" s="53"/>
      <c r="L266" s="57"/>
      <c r="M266" s="57"/>
      <c r="N266" s="53"/>
      <c r="O266" s="53"/>
      <c r="P266" s="53"/>
      <c r="Q266" s="53"/>
      <c r="R266" s="57"/>
      <c r="S266" s="53"/>
      <c r="T266" s="53"/>
      <c r="U266" s="763"/>
      <c r="V266" s="53"/>
      <c r="W266" s="53"/>
      <c r="X266" s="53"/>
      <c r="Y266" s="53"/>
      <c r="Z266" s="53"/>
      <c r="AA266" s="56"/>
      <c r="AB266" s="54"/>
      <c r="AC266" s="54"/>
      <c r="AD266" s="54"/>
      <c r="AE266" s="54"/>
      <c r="AF266" s="131">
        <v>11</v>
      </c>
    </row>
    <row r="267" s="131" customFormat="1" ht="11.5" customHeight="1">
      <c r="A267" s="762"/>
      <c r="B267" s="57"/>
      <c r="C267" s="57"/>
      <c r="D267" s="131"/>
      <c r="K267" s="53"/>
      <c r="L267" s="57"/>
      <c r="M267" s="57"/>
      <c r="N267" s="53"/>
      <c r="O267" s="53"/>
      <c r="P267" s="53"/>
      <c r="Q267" s="53"/>
      <c r="R267" s="57"/>
      <c r="S267" s="53"/>
      <c r="T267" s="53"/>
      <c r="U267" s="763"/>
      <c r="V267" s="53"/>
      <c r="W267" s="53"/>
      <c r="X267" s="53"/>
      <c r="Y267" s="53"/>
      <c r="Z267" s="53"/>
      <c r="AA267" s="56"/>
      <c r="AB267" s="54"/>
      <c r="AC267" s="54"/>
      <c r="AD267" s="54"/>
      <c r="AE267" s="54"/>
      <c r="AF267" s="131">
        <v>11</v>
      </c>
    </row>
    <row r="268" s="131" customFormat="1" ht="11.5" customHeight="1">
      <c r="A268" s="762"/>
      <c r="B268" s="57"/>
      <c r="C268" s="57"/>
      <c r="D268" s="131"/>
      <c r="K268" s="53"/>
      <c r="L268" s="57"/>
      <c r="M268" s="57"/>
      <c r="N268" s="53"/>
      <c r="O268" s="53"/>
      <c r="P268" s="53"/>
      <c r="Q268" s="53"/>
      <c r="R268" s="57"/>
      <c r="S268" s="53"/>
      <c r="T268" s="53"/>
      <c r="U268" s="763"/>
      <c r="V268" s="53"/>
      <c r="W268" s="53"/>
      <c r="X268" s="53"/>
      <c r="Y268" s="53"/>
      <c r="Z268" s="53"/>
      <c r="AA268" s="56"/>
      <c r="AB268" s="54"/>
      <c r="AC268" s="54"/>
      <c r="AD268" s="54"/>
      <c r="AE268" s="54"/>
      <c r="AF268" s="131">
        <v>11</v>
      </c>
    </row>
    <row r="269" s="131" customFormat="1" ht="11.5" customHeight="1">
      <c r="A269" s="762"/>
      <c r="B269" s="57"/>
      <c r="C269" s="57"/>
      <c r="D269" s="131"/>
      <c r="K269" s="53"/>
      <c r="L269" s="57"/>
      <c r="M269" s="57"/>
      <c r="N269" s="53"/>
      <c r="O269" s="53"/>
      <c r="P269" s="53"/>
      <c r="Q269" s="53"/>
      <c r="R269" s="57"/>
      <c r="S269" s="53"/>
      <c r="T269" s="53"/>
      <c r="U269" s="763"/>
      <c r="V269" s="53"/>
      <c r="W269" s="53"/>
      <c r="X269" s="53"/>
      <c r="Y269" s="53"/>
      <c r="Z269" s="53"/>
      <c r="AA269" s="56"/>
      <c r="AB269" s="54"/>
      <c r="AC269" s="54"/>
      <c r="AD269" s="54"/>
      <c r="AE269" s="54"/>
      <c r="AF269" s="131">
        <v>11</v>
      </c>
    </row>
    <row r="270" s="131" customFormat="1" ht="11.5" customHeight="1">
      <c r="A270" s="762"/>
      <c r="B270" s="57"/>
      <c r="C270" s="57"/>
      <c r="D270" s="131"/>
      <c r="K270" s="53"/>
      <c r="L270" s="57"/>
      <c r="M270" s="57"/>
      <c r="N270" s="53"/>
      <c r="O270" s="53"/>
      <c r="P270" s="53"/>
      <c r="Q270" s="53"/>
      <c r="R270" s="57"/>
      <c r="S270" s="53"/>
      <c r="T270" s="53"/>
      <c r="U270" s="763"/>
      <c r="V270" s="53"/>
      <c r="W270" s="53"/>
      <c r="X270" s="53"/>
      <c r="Y270" s="53"/>
      <c r="Z270" s="53"/>
      <c r="AA270" s="56"/>
      <c r="AB270" s="54"/>
      <c r="AC270" s="54"/>
      <c r="AD270" s="54"/>
      <c r="AE270" s="54"/>
      <c r="AF270" s="131">
        <v>11</v>
      </c>
    </row>
    <row r="271" s="131" customFormat="1" ht="11.5" customHeight="1">
      <c r="A271" s="762"/>
      <c r="B271" s="57"/>
      <c r="C271" s="57"/>
      <c r="D271" s="131"/>
      <c r="K271" s="53"/>
      <c r="L271" s="57"/>
      <c r="M271" s="57"/>
      <c r="N271" s="53"/>
      <c r="O271" s="53"/>
      <c r="P271" s="53"/>
      <c r="Q271" s="53"/>
      <c r="R271" s="57"/>
      <c r="S271" s="53"/>
      <c r="T271" s="53"/>
      <c r="U271" s="763"/>
      <c r="V271" s="53"/>
      <c r="W271" s="53"/>
      <c r="X271" s="53"/>
      <c r="Y271" s="53"/>
      <c r="Z271" s="53"/>
      <c r="AA271" s="56"/>
      <c r="AB271" s="54"/>
      <c r="AC271" s="54"/>
      <c r="AD271" s="54"/>
      <c r="AE271" s="54"/>
      <c r="AF271" s="131">
        <v>11</v>
      </c>
    </row>
    <row r="272" s="131" customFormat="1" ht="11.5" customHeight="1">
      <c r="A272" s="762"/>
      <c r="B272" s="57"/>
      <c r="C272" s="57"/>
      <c r="D272" s="131"/>
      <c r="K272" s="53"/>
      <c r="L272" s="57"/>
      <c r="M272" s="57"/>
      <c r="N272" s="53"/>
      <c r="O272" s="53"/>
      <c r="P272" s="53"/>
      <c r="Q272" s="53"/>
      <c r="R272" s="57"/>
      <c r="S272" s="53"/>
      <c r="T272" s="53"/>
      <c r="U272" s="763"/>
      <c r="V272" s="53"/>
      <c r="W272" s="53"/>
      <c r="X272" s="53"/>
      <c r="Y272" s="53"/>
      <c r="Z272" s="53"/>
      <c r="AA272" s="56"/>
      <c r="AB272" s="54"/>
      <c r="AC272" s="54"/>
      <c r="AD272" s="54"/>
      <c r="AE272" s="54"/>
      <c r="AF272" s="131">
        <v>11</v>
      </c>
    </row>
    <row r="273" s="131" customFormat="1" ht="11.5" customHeight="1">
      <c r="A273" s="762"/>
      <c r="B273" s="57"/>
      <c r="C273" s="57"/>
      <c r="D273" s="131"/>
      <c r="K273" s="53"/>
      <c r="L273" s="57"/>
      <c r="M273" s="57"/>
      <c r="N273" s="53"/>
      <c r="O273" s="53"/>
      <c r="P273" s="53"/>
      <c r="Q273" s="53"/>
      <c r="R273" s="57"/>
      <c r="S273" s="53"/>
      <c r="T273" s="53"/>
      <c r="U273" s="763"/>
      <c r="V273" s="53"/>
      <c r="W273" s="53"/>
      <c r="X273" s="53"/>
      <c r="Y273" s="53"/>
      <c r="Z273" s="53"/>
      <c r="AA273" s="56"/>
      <c r="AB273" s="54"/>
      <c r="AC273" s="54"/>
      <c r="AD273" s="54"/>
      <c r="AE273" s="54"/>
      <c r="AF273" s="131">
        <v>11</v>
      </c>
    </row>
    <row r="274" s="131" customFormat="1" ht="11.5" customHeight="1">
      <c r="A274" s="762"/>
      <c r="B274" s="57"/>
      <c r="C274" s="57"/>
      <c r="D274" s="131"/>
      <c r="K274" s="53"/>
      <c r="L274" s="57"/>
      <c r="M274" s="57"/>
      <c r="N274" s="53"/>
      <c r="O274" s="53"/>
      <c r="P274" s="53"/>
      <c r="Q274" s="53"/>
      <c r="R274" s="57"/>
      <c r="S274" s="53"/>
      <c r="T274" s="53"/>
      <c r="U274" s="763"/>
      <c r="V274" s="53"/>
      <c r="W274" s="53"/>
      <c r="X274" s="53"/>
      <c r="Y274" s="53"/>
      <c r="Z274" s="53"/>
      <c r="AA274" s="56"/>
      <c r="AB274" s="54"/>
      <c r="AC274" s="54"/>
      <c r="AD274" s="54"/>
      <c r="AE274" s="54"/>
      <c r="AF274" s="131">
        <v>11</v>
      </c>
    </row>
    <row r="275" s="131" customFormat="1" ht="11.5" customHeight="1">
      <c r="A275" s="762"/>
      <c r="B275" s="57"/>
      <c r="C275" s="57"/>
      <c r="D275" s="131"/>
      <c r="K275" s="53"/>
      <c r="L275" s="57"/>
      <c r="M275" s="57"/>
      <c r="N275" s="53"/>
      <c r="O275" s="53"/>
      <c r="P275" s="53"/>
      <c r="Q275" s="53"/>
      <c r="R275" s="57"/>
      <c r="S275" s="53"/>
      <c r="T275" s="53"/>
      <c r="U275" s="763"/>
      <c r="V275" s="53"/>
      <c r="W275" s="53"/>
      <c r="X275" s="53"/>
      <c r="Y275" s="53"/>
      <c r="Z275" s="53"/>
      <c r="AA275" s="56"/>
      <c r="AB275" s="54"/>
      <c r="AC275" s="54"/>
      <c r="AD275" s="54"/>
      <c r="AE275" s="54"/>
      <c r="AF275" s="131">
        <v>11</v>
      </c>
    </row>
    <row r="276" s="131" customFormat="1" ht="11.5" customHeight="1">
      <c r="A276" s="762"/>
      <c r="B276" s="57"/>
      <c r="C276" s="57"/>
      <c r="D276" s="131"/>
      <c r="K276" s="53"/>
      <c r="L276" s="57"/>
      <c r="M276" s="57"/>
      <c r="N276" s="53"/>
      <c r="O276" s="53"/>
      <c r="P276" s="53"/>
      <c r="Q276" s="53"/>
      <c r="R276" s="57"/>
      <c r="S276" s="53"/>
      <c r="T276" s="53"/>
      <c r="U276" s="763"/>
      <c r="V276" s="53"/>
      <c r="W276" s="53"/>
      <c r="X276" s="53"/>
      <c r="Y276" s="53"/>
      <c r="Z276" s="53"/>
      <c r="AA276" s="56"/>
      <c r="AB276" s="54"/>
      <c r="AC276" s="54"/>
      <c r="AD276" s="54"/>
      <c r="AE276" s="54"/>
      <c r="AF276" s="131">
        <v>11</v>
      </c>
    </row>
    <row r="277" s="131" customFormat="1" ht="11.5" customHeight="1">
      <c r="A277" s="762"/>
      <c r="B277" s="57"/>
      <c r="C277" s="57"/>
      <c r="D277" s="131"/>
      <c r="K277" s="53"/>
      <c r="L277" s="57"/>
      <c r="M277" s="57"/>
      <c r="N277" s="53"/>
      <c r="O277" s="53"/>
      <c r="P277" s="53"/>
      <c r="Q277" s="53"/>
      <c r="R277" s="57"/>
      <c r="S277" s="53"/>
      <c r="T277" s="53"/>
      <c r="U277" s="763"/>
      <c r="V277" s="53"/>
      <c r="W277" s="53"/>
      <c r="X277" s="53"/>
      <c r="Y277" s="53"/>
      <c r="Z277" s="53"/>
      <c r="AA277" s="56"/>
      <c r="AB277" s="54"/>
      <c r="AC277" s="54"/>
      <c r="AD277" s="54"/>
      <c r="AE277" s="54"/>
      <c r="AF277" s="131">
        <v>11</v>
      </c>
    </row>
    <row r="278" s="131" customFormat="1" ht="11.5" customHeight="1">
      <c r="A278" s="762"/>
      <c r="B278" s="57"/>
      <c r="C278" s="57"/>
      <c r="D278" s="131"/>
      <c r="K278" s="53"/>
      <c r="L278" s="57"/>
      <c r="M278" s="57"/>
      <c r="N278" s="53"/>
      <c r="O278" s="53"/>
      <c r="P278" s="53"/>
      <c r="Q278" s="53"/>
      <c r="R278" s="57"/>
      <c r="S278" s="53"/>
      <c r="T278" s="53"/>
      <c r="U278" s="763"/>
      <c r="V278" s="53"/>
      <c r="W278" s="53"/>
      <c r="X278" s="53"/>
      <c r="Y278" s="53"/>
      <c r="Z278" s="53"/>
      <c r="AA278" s="56"/>
      <c r="AB278" s="54"/>
      <c r="AC278" s="54"/>
      <c r="AD278" s="54"/>
      <c r="AE278" s="54"/>
      <c r="AF278" s="131">
        <v>11</v>
      </c>
    </row>
    <row r="279" s="131" customFormat="1" ht="11.5" customHeight="1">
      <c r="A279" s="762"/>
      <c r="B279" s="57"/>
      <c r="C279" s="57"/>
      <c r="D279" s="131"/>
      <c r="K279" s="53"/>
      <c r="L279" s="57"/>
      <c r="M279" s="57"/>
      <c r="N279" s="53"/>
      <c r="O279" s="53"/>
      <c r="P279" s="53"/>
      <c r="Q279" s="53"/>
      <c r="R279" s="57"/>
      <c r="S279" s="53"/>
      <c r="T279" s="53"/>
      <c r="U279" s="763"/>
      <c r="V279" s="53"/>
      <c r="W279" s="53"/>
      <c r="X279" s="53"/>
      <c r="Y279" s="53"/>
      <c r="Z279" s="53"/>
      <c r="AA279" s="56"/>
      <c r="AB279" s="54"/>
      <c r="AC279" s="54"/>
      <c r="AD279" s="54"/>
      <c r="AE279" s="54"/>
      <c r="AF279" s="131">
        <v>11</v>
      </c>
    </row>
    <row r="280" s="131" customFormat="1" ht="11.5" customHeight="1">
      <c r="A280" s="762"/>
      <c r="B280" s="57"/>
      <c r="C280" s="57"/>
      <c r="D280" s="131"/>
      <c r="K280" s="53"/>
      <c r="L280" s="57"/>
      <c r="M280" s="57"/>
      <c r="N280" s="53"/>
      <c r="O280" s="53"/>
      <c r="P280" s="53"/>
      <c r="Q280" s="53"/>
      <c r="R280" s="57"/>
      <c r="S280" s="53"/>
      <c r="T280" s="53"/>
      <c r="U280" s="763"/>
      <c r="V280" s="53"/>
      <c r="W280" s="53"/>
      <c r="X280" s="53"/>
      <c r="Y280" s="53"/>
      <c r="Z280" s="53"/>
      <c r="AA280" s="56"/>
      <c r="AB280" s="54"/>
      <c r="AC280" s="54"/>
      <c r="AD280" s="54"/>
      <c r="AE280" s="54"/>
      <c r="AF280" s="131">
        <v>11</v>
      </c>
    </row>
    <row r="281" s="131" customFormat="1" ht="11.5" customHeight="1">
      <c r="A281" s="762"/>
      <c r="B281" s="57"/>
      <c r="C281" s="57"/>
      <c r="D281" s="131"/>
      <c r="K281" s="53"/>
      <c r="L281" s="57"/>
      <c r="M281" s="57"/>
      <c r="N281" s="53"/>
      <c r="O281" s="53"/>
      <c r="P281" s="53"/>
      <c r="Q281" s="53"/>
      <c r="R281" s="57"/>
      <c r="S281" s="53"/>
      <c r="T281" s="53"/>
      <c r="U281" s="763"/>
      <c r="V281" s="53"/>
      <c r="W281" s="53"/>
      <c r="X281" s="53"/>
      <c r="Y281" s="53"/>
      <c r="Z281" s="53"/>
      <c r="AA281" s="56"/>
      <c r="AB281" s="54"/>
      <c r="AC281" s="54"/>
      <c r="AD281" s="54"/>
      <c r="AE281" s="54"/>
      <c r="AF281" s="131">
        <v>11</v>
      </c>
    </row>
    <row r="282" s="131" customFormat="1" ht="11.5" customHeight="1">
      <c r="A282" s="762"/>
      <c r="B282" s="57"/>
      <c r="C282" s="57"/>
      <c r="D282" s="131"/>
      <c r="K282" s="53"/>
      <c r="L282" s="57"/>
      <c r="M282" s="57"/>
      <c r="N282" s="53"/>
      <c r="O282" s="53"/>
      <c r="P282" s="53"/>
      <c r="Q282" s="53"/>
      <c r="R282" s="57"/>
      <c r="S282" s="53"/>
      <c r="T282" s="53"/>
      <c r="U282" s="763"/>
      <c r="V282" s="53"/>
      <c r="W282" s="53"/>
      <c r="X282" s="53"/>
      <c r="Y282" s="53"/>
      <c r="Z282" s="53"/>
      <c r="AA282" s="56"/>
      <c r="AB282" s="54"/>
      <c r="AC282" s="54"/>
      <c r="AD282" s="54"/>
      <c r="AE282" s="54"/>
      <c r="AF282" s="131">
        <v>11</v>
      </c>
    </row>
    <row r="283" s="131" customFormat="1" ht="11.5" customHeight="1">
      <c r="A283" s="762"/>
      <c r="B283" s="57"/>
      <c r="C283" s="57"/>
      <c r="D283" s="131"/>
      <c r="K283" s="53"/>
      <c r="L283" s="57"/>
      <c r="M283" s="57"/>
      <c r="N283" s="53"/>
      <c r="O283" s="53"/>
      <c r="P283" s="53"/>
      <c r="Q283" s="53"/>
      <c r="R283" s="57"/>
      <c r="S283" s="53"/>
      <c r="T283" s="53"/>
      <c r="U283" s="763"/>
      <c r="V283" s="53"/>
      <c r="W283" s="53"/>
      <c r="X283" s="53"/>
      <c r="Y283" s="53"/>
      <c r="Z283" s="53"/>
      <c r="AA283" s="56"/>
      <c r="AB283" s="54"/>
      <c r="AC283" s="54"/>
      <c r="AD283" s="54"/>
      <c r="AE283" s="54"/>
      <c r="AF283" s="131">
        <v>11</v>
      </c>
    </row>
    <row r="284" s="131" customFormat="1" ht="11.5" customHeight="1">
      <c r="A284" s="762"/>
      <c r="B284" s="57"/>
      <c r="C284" s="57"/>
      <c r="D284" s="131"/>
      <c r="K284" s="53"/>
      <c r="L284" s="57"/>
      <c r="M284" s="57"/>
      <c r="N284" s="53"/>
      <c r="O284" s="53"/>
      <c r="P284" s="53"/>
      <c r="Q284" s="53"/>
      <c r="R284" s="57"/>
      <c r="S284" s="53"/>
      <c r="T284" s="53"/>
      <c r="U284" s="763"/>
      <c r="V284" s="53"/>
      <c r="W284" s="53"/>
      <c r="X284" s="53"/>
      <c r="Y284" s="53"/>
      <c r="Z284" s="53"/>
      <c r="AA284" s="56"/>
      <c r="AB284" s="54"/>
      <c r="AC284" s="54"/>
      <c r="AD284" s="54"/>
      <c r="AE284" s="54"/>
      <c r="AF284" s="131">
        <v>11</v>
      </c>
    </row>
    <row r="285" s="131" customFormat="1" ht="11.5" customHeight="1">
      <c r="A285" s="762"/>
      <c r="B285" s="57"/>
      <c r="C285" s="57"/>
      <c r="D285" s="131"/>
      <c r="K285" s="53"/>
      <c r="L285" s="57"/>
      <c r="M285" s="57"/>
      <c r="N285" s="53"/>
      <c r="O285" s="53"/>
      <c r="P285" s="53"/>
      <c r="Q285" s="53"/>
      <c r="R285" s="57"/>
      <c r="S285" s="53"/>
      <c r="T285" s="53"/>
      <c r="U285" s="763"/>
      <c r="V285" s="53"/>
      <c r="W285" s="53"/>
      <c r="X285" s="53"/>
      <c r="Y285" s="53"/>
      <c r="Z285" s="53"/>
      <c r="AA285" s="56"/>
      <c r="AB285" s="54"/>
      <c r="AC285" s="54"/>
      <c r="AD285" s="54"/>
      <c r="AE285" s="54"/>
      <c r="AF285" s="131">
        <v>11</v>
      </c>
    </row>
    <row r="286" s="131" customFormat="1" ht="11.5" customHeight="1">
      <c r="A286" s="762"/>
      <c r="B286" s="57"/>
      <c r="C286" s="57"/>
      <c r="D286" s="131"/>
      <c r="K286" s="53"/>
      <c r="L286" s="57"/>
      <c r="M286" s="57"/>
      <c r="N286" s="53"/>
      <c r="O286" s="53"/>
      <c r="P286" s="53"/>
      <c r="Q286" s="53"/>
      <c r="R286" s="57"/>
      <c r="S286" s="53"/>
      <c r="T286" s="53"/>
      <c r="U286" s="763"/>
      <c r="V286" s="53"/>
      <c r="W286" s="53"/>
      <c r="X286" s="53"/>
      <c r="Y286" s="53"/>
      <c r="Z286" s="53"/>
      <c r="AA286" s="56"/>
      <c r="AB286" s="54"/>
      <c r="AC286" s="54"/>
      <c r="AD286" s="54"/>
      <c r="AE286" s="54"/>
      <c r="AF286" s="131">
        <v>11</v>
      </c>
    </row>
    <row r="287" s="131" customFormat="1" ht="11.5" customHeight="1">
      <c r="A287" s="762"/>
      <c r="B287" s="57"/>
      <c r="C287" s="57"/>
      <c r="D287" s="131"/>
      <c r="K287" s="53"/>
      <c r="L287" s="57"/>
      <c r="M287" s="57"/>
      <c r="N287" s="53"/>
      <c r="O287" s="53"/>
      <c r="P287" s="53"/>
      <c r="Q287" s="53"/>
      <c r="R287" s="57"/>
      <c r="S287" s="53"/>
      <c r="T287" s="53"/>
      <c r="U287" s="763"/>
      <c r="V287" s="53"/>
      <c r="W287" s="53"/>
      <c r="X287" s="53"/>
      <c r="Y287" s="53"/>
      <c r="Z287" s="53"/>
      <c r="AA287" s="56"/>
      <c r="AB287" s="54"/>
      <c r="AC287" s="54"/>
      <c r="AD287" s="54"/>
      <c r="AE287" s="54"/>
      <c r="AF287" s="131">
        <v>11</v>
      </c>
    </row>
    <row r="288" s="131" customFormat="1" ht="11.5" customHeight="1">
      <c r="A288" s="762"/>
      <c r="B288" s="57"/>
      <c r="C288" s="57"/>
      <c r="D288" s="131"/>
      <c r="K288" s="53"/>
      <c r="L288" s="57"/>
      <c r="M288" s="57"/>
      <c r="N288" s="53"/>
      <c r="O288" s="53"/>
      <c r="P288" s="53"/>
      <c r="Q288" s="53"/>
      <c r="R288" s="57"/>
      <c r="S288" s="53"/>
      <c r="T288" s="53"/>
      <c r="U288" s="763"/>
      <c r="V288" s="53"/>
      <c r="W288" s="53"/>
      <c r="X288" s="53"/>
      <c r="Y288" s="53"/>
      <c r="Z288" s="53"/>
      <c r="AA288" s="56"/>
      <c r="AB288" s="54"/>
      <c r="AC288" s="54"/>
      <c r="AD288" s="54"/>
      <c r="AE288" s="54"/>
      <c r="AF288" s="131">
        <v>11</v>
      </c>
    </row>
    <row r="289" ht="11.5" customHeight="1">
      <c r="AF289" s="50">
        <v>11</v>
      </c>
    </row>
    <row r="290" ht="11.5" customHeight="1">
      <c r="AF290" s="50">
        <v>11</v>
      </c>
    </row>
    <row r="291" ht="11.5" customHeight="1">
      <c r="AF291" s="50">
        <v>11</v>
      </c>
    </row>
    <row r="292" ht="11.5" customHeight="1">
      <c r="A292" s="830"/>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830"/>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830"/>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830"/>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830"/>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830"/>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830"/>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830"/>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830"/>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830"/>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830"/>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62" t="s">
        <v>82</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63">
        <v>8</v>
      </c>
      <c r="V303" s="53">
        <v>8</v>
      </c>
      <c r="W303" s="53">
        <v>8</v>
      </c>
      <c r="X303" s="53">
        <v>8</v>
      </c>
      <c r="Y303" s="53">
        <v>8</v>
      </c>
      <c r="Z303" s="53">
        <v>8</v>
      </c>
      <c r="AA303" s="56">
        <v>8</v>
      </c>
      <c r="AB303" s="56">
        <v>8</v>
      </c>
      <c r="AC303" s="56">
        <v>8</v>
      </c>
      <c r="AD303" s="56">
        <v>8</v>
      </c>
      <c r="AE303" s="56">
        <v>8</v>
      </c>
      <c r="AF303" s="50">
        <v>11</v>
      </c>
    </row>
  </sheetData>
  <sheetProtection autoFilter="0" deleteColumns="0" deleteRows="0" formatCells="1" formatColumns="0" formatRows="0" insertColumns="1" insertHyperlinks="1" insertRows="0" pivotTables="1" selectLockedCells="0" selectUnlockedCells="0" sheet="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D00045-00DD-43FA-B5D4-004F003000CC}"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 xr:uid="{0061006B-0060-402E-8940-001A00DD0072}"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8B00DD-00F6-4AD0-8D48-005C00F9009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56002A-005A-4A8A-9655-0036000B004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C90054-0075-4F57-8E27-00300079008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6C00E2-004F-48CF-A12A-00E4006E005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7D00A3-00A1-4F35-800C-00C4003E0048}"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BF008E-0004-4A34-A09A-00DA00DA00A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85009E-0098-4F33-8D43-004300BE007E}"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1A0041-00E9-42D1-AD53-000600820006}"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5400D9-00D6-41A7-8055-003200050027}"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831"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40"/>
      <c r="L4" s="140"/>
      <c r="M4" s="140"/>
      <c r="CF4" s="50">
        <v>3</v>
      </c>
    </row>
    <row r="5" ht="29.25" customHeight="1">
      <c r="C5" s="50"/>
      <c r="D5" s="832"/>
      <c r="E5" s="466"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466"/>
      <c r="G5" s="466"/>
      <c r="H5" s="466"/>
      <c r="I5" s="466"/>
      <c r="J5" s="466"/>
      <c r="K5" s="466"/>
      <c r="L5" s="51"/>
      <c r="M5" s="51"/>
      <c r="CF5" s="50">
        <v>28</v>
      </c>
    </row>
    <row r="6" s="50" customFormat="1" ht="16.800000000000001" customHeight="1">
      <c r="A6" s="831"/>
      <c r="B6" s="56"/>
      <c r="C6" s="50"/>
      <c r="D6" s="833"/>
      <c r="E6" s="320" t="str">
        <f>IF(org=0,"Не определено",org)</f>
        <v xml:space="preserve">филиал Пермская ГРЭС АО "Интер РАО - Электрогенерация"</v>
      </c>
      <c r="F6" s="320"/>
      <c r="G6" s="320"/>
      <c r="H6" s="320"/>
      <c r="I6" s="320"/>
      <c r="J6" s="320"/>
      <c r="K6" s="320"/>
      <c r="L6" s="51"/>
      <c r="M6" s="51"/>
      <c r="U6" s="57"/>
      <c r="V6" s="57"/>
      <c r="W6" s="56"/>
      <c r="X6" s="56"/>
      <c r="Y6" s="56"/>
      <c r="Z6" s="56"/>
      <c r="AA6" s="56"/>
      <c r="CF6" s="50">
        <v>16</v>
      </c>
    </row>
    <row r="7" ht="11.5" customHeight="1">
      <c r="C7" s="50"/>
      <c r="D7" s="50"/>
      <c r="E7" s="50"/>
      <c r="F7" s="50"/>
      <c r="G7" s="51"/>
      <c r="H7" s="51"/>
      <c r="I7" s="51"/>
      <c r="J7" s="51"/>
      <c r="K7" s="834"/>
      <c r="L7" s="834"/>
      <c r="M7" s="834"/>
      <c r="R7" s="356"/>
      <c r="CF7" s="50">
        <v>11</v>
      </c>
    </row>
    <row r="8" s="131" customFormat="1" ht="4.2000000000000002" customHeight="1">
      <c r="A8" s="835"/>
      <c r="B8" s="54"/>
      <c r="C8" s="131"/>
      <c r="D8" s="131"/>
      <c r="E8" s="131"/>
      <c r="F8" s="131"/>
      <c r="G8" s="787"/>
      <c r="H8" s="787"/>
      <c r="I8" s="787"/>
      <c r="J8" s="787"/>
      <c r="K8" s="836"/>
      <c r="L8" s="836"/>
      <c r="M8" s="836"/>
      <c r="R8" s="837"/>
      <c r="U8" s="57"/>
      <c r="V8" s="57"/>
      <c r="W8" s="54"/>
      <c r="X8" s="54"/>
      <c r="Y8" s="54"/>
      <c r="Z8" s="54"/>
      <c r="AA8" s="54"/>
      <c r="CF8" s="131">
        <v>4</v>
      </c>
    </row>
    <row r="9" ht="19.949999999999999" customHeight="1">
      <c r="D9" s="499"/>
      <c r="E9" s="73" t="s">
        <v>302</v>
      </c>
      <c r="F9" s="145"/>
      <c r="G9" s="145"/>
      <c r="H9" s="145"/>
      <c r="I9" s="145"/>
      <c r="J9" s="145"/>
      <c r="K9" s="145"/>
      <c r="L9" s="145"/>
      <c r="M9" s="145"/>
      <c r="N9" s="145"/>
      <c r="O9" s="145"/>
      <c r="P9" s="145"/>
      <c r="Q9" s="145"/>
      <c r="R9" s="72"/>
      <c r="S9" s="157" t="s">
        <v>303</v>
      </c>
      <c r="T9" s="838"/>
      <c r="CF9" s="50">
        <v>19</v>
      </c>
    </row>
    <row r="10" ht="48.25" customHeight="1">
      <c r="D10" s="158" t="s">
        <v>88</v>
      </c>
      <c r="E10" s="157" t="s">
        <v>88</v>
      </c>
      <c r="F10" s="157"/>
      <c r="G10" s="157" t="s">
        <v>304</v>
      </c>
      <c r="H10" s="157" t="s">
        <v>88</v>
      </c>
      <c r="I10" s="157"/>
      <c r="J10" s="157" t="s">
        <v>604</v>
      </c>
      <c r="K10" s="157" t="s">
        <v>605</v>
      </c>
      <c r="L10" s="157" t="s">
        <v>88</v>
      </c>
      <c r="M10" s="157"/>
      <c r="N10" s="157" t="s">
        <v>606</v>
      </c>
      <c r="O10" s="157" t="s">
        <v>607</v>
      </c>
      <c r="P10" s="157" t="s">
        <v>608</v>
      </c>
      <c r="Q10" s="157" t="s">
        <v>609</v>
      </c>
      <c r="R10" s="157" t="s">
        <v>610</v>
      </c>
      <c r="S10" s="157"/>
      <c r="T10" s="838"/>
      <c r="CF10" s="50">
        <v>46</v>
      </c>
    </row>
    <row r="11" s="57" customFormat="1" ht="15" hidden="1" customHeight="1">
      <c r="A11" s="545"/>
      <c r="D11" s="545" t="s">
        <v>109</v>
      </c>
      <c r="E11" s="545"/>
      <c r="F11" s="545" t="s">
        <v>110</v>
      </c>
      <c r="G11" s="545" t="s">
        <v>90</v>
      </c>
      <c r="H11" s="545"/>
      <c r="I11" s="545" t="s">
        <v>91</v>
      </c>
      <c r="J11" s="545" t="s">
        <v>111</v>
      </c>
      <c r="K11" s="545" t="s">
        <v>92</v>
      </c>
      <c r="L11" s="545"/>
      <c r="M11" s="545" t="s">
        <v>93</v>
      </c>
      <c r="N11" s="545" t="s">
        <v>112</v>
      </c>
      <c r="O11" s="545" t="s">
        <v>99</v>
      </c>
      <c r="P11" s="545" t="s">
        <v>148</v>
      </c>
      <c r="Q11" s="545" t="s">
        <v>149</v>
      </c>
      <c r="R11" s="545" t="s">
        <v>150</v>
      </c>
      <c r="S11" s="545" t="s">
        <v>151</v>
      </c>
      <c r="U11" s="57"/>
      <c r="V11" s="57"/>
      <c r="W11" s="57"/>
      <c r="CF11" s="57">
        <v>0</v>
      </c>
    </row>
    <row r="12" s="50" customFormat="1" ht="1.05" customHeight="1">
      <c r="A12" s="831"/>
      <c r="B12" s="56"/>
      <c r="D12" s="545"/>
      <c r="E12" s="125"/>
      <c r="F12" s="125"/>
      <c r="Q12" s="142"/>
      <c r="R12" s="839"/>
      <c r="T12" s="838"/>
      <c r="U12" s="57"/>
      <c r="V12" s="57"/>
      <c r="W12" s="56"/>
      <c r="X12" s="56"/>
      <c r="Y12" s="56"/>
      <c r="Z12" s="56"/>
      <c r="AA12" s="56"/>
      <c r="CF12" s="50">
        <v>1</v>
      </c>
    </row>
    <row r="13" s="131" customFormat="1" ht="1.05" customHeight="1">
      <c r="A13" s="835"/>
      <c r="B13" s="54"/>
      <c r="D13" s="545" t="s">
        <v>378</v>
      </c>
      <c r="E13" s="788"/>
      <c r="F13" s="788"/>
      <c r="G13" s="788"/>
      <c r="H13" s="788"/>
      <c r="I13" s="788"/>
      <c r="J13" s="788"/>
      <c r="K13" s="788"/>
      <c r="L13" s="788"/>
      <c r="M13" s="788"/>
      <c r="N13" s="788"/>
      <c r="O13" s="788"/>
      <c r="P13" s="788"/>
      <c r="Q13" s="788"/>
      <c r="R13" s="788"/>
      <c r="T13" s="838"/>
      <c r="U13" s="57"/>
      <c r="V13" s="57"/>
      <c r="W13" s="54"/>
      <c r="X13" s="54"/>
      <c r="Y13" s="54"/>
      <c r="Z13" s="54"/>
      <c r="AA13" s="54"/>
      <c r="CF13" s="131">
        <v>1</v>
      </c>
    </row>
    <row r="14" s="63" customFormat="1" ht="15" hidden="1" customHeight="1">
      <c r="A14" s="840" t="s">
        <v>117</v>
      </c>
      <c r="B14" s="63"/>
      <c r="C14" s="63"/>
      <c r="D14" s="841" t="s">
        <v>109</v>
      </c>
      <c r="E14" s="842" t="s">
        <v>105</v>
      </c>
      <c r="F14" s="843"/>
      <c r="G14" s="844"/>
      <c r="H14" s="79">
        <f>IF(A14="","",INDEX(DIFFERENTIATION_UNMERGE_VD,MATCH(A14,DIFFERENTIATION_ID_DIFF,0)))</f>
        <v>0</v>
      </c>
      <c r="I14" s="79"/>
      <c r="J14" s="79"/>
      <c r="K14" s="79"/>
      <c r="L14" s="79"/>
      <c r="M14" s="79"/>
      <c r="N14" s="79"/>
      <c r="O14" s="79"/>
      <c r="P14" s="79"/>
      <c r="Q14" s="79"/>
      <c r="R14" s="79"/>
      <c r="S14" s="845"/>
      <c r="T14" s="846"/>
      <c r="U14" s="167"/>
      <c r="V14" s="167"/>
      <c r="W14" s="64"/>
      <c r="X14" s="64"/>
      <c r="Y14" s="64"/>
      <c r="Z14" s="64"/>
      <c r="AA14" s="167"/>
      <c r="AB14" s="64"/>
      <c r="AC14" s="847"/>
      <c r="AD14" s="64"/>
      <c r="AE14" s="848" t="s">
        <v>28</v>
      </c>
      <c r="AF14" s="848"/>
      <c r="AG14" s="849" t="s">
        <v>611</v>
      </c>
      <c r="AH14" s="850">
        <v>3</v>
      </c>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64"/>
      <c r="BW14" s="64"/>
      <c r="BX14" s="64"/>
      <c r="BY14" s="64"/>
      <c r="BZ14" s="64"/>
      <c r="CA14" s="64"/>
      <c r="CB14" s="64"/>
      <c r="CC14" s="64"/>
      <c r="CD14" s="64"/>
      <c r="CE14" s="64"/>
      <c r="CF14" s="63">
        <v>0</v>
      </c>
    </row>
    <row r="15" s="63" customFormat="1" ht="15" hidden="1" customHeight="1">
      <c r="A15" s="840"/>
      <c r="B15" s="63"/>
      <c r="C15" s="63"/>
      <c r="D15" s="851"/>
      <c r="E15" s="842" t="s">
        <v>566</v>
      </c>
      <c r="F15" s="843"/>
      <c r="G15" s="844"/>
      <c r="H15" s="79" t="str">
        <f>IF(A14="","",INDEX(DIFFERENTIATION_UNMERGE_AREA,MATCH(A14,DIFFERENTIATION_ID_DIFF,0)))</f>
        <v/>
      </c>
      <c r="I15" s="79"/>
      <c r="J15" s="79"/>
      <c r="K15" s="79"/>
      <c r="L15" s="79"/>
      <c r="M15" s="79"/>
      <c r="N15" s="79"/>
      <c r="O15" s="79"/>
      <c r="P15" s="79"/>
      <c r="Q15" s="79"/>
      <c r="R15" s="79"/>
      <c r="S15" s="845"/>
      <c r="T15" s="846"/>
      <c r="U15" s="167"/>
      <c r="V15" s="167"/>
      <c r="W15" s="64"/>
      <c r="X15" s="64"/>
      <c r="Y15" s="64"/>
      <c r="Z15" s="64"/>
      <c r="AA15" s="167"/>
      <c r="AB15" s="64"/>
      <c r="AC15" s="847"/>
      <c r="AD15" s="64"/>
      <c r="AE15" s="848"/>
      <c r="AF15" s="848"/>
      <c r="AG15" s="849"/>
      <c r="AH15" s="850"/>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167"/>
      <c r="BT15" s="167"/>
      <c r="BU15" s="167"/>
      <c r="BV15" s="64"/>
      <c r="BW15" s="64"/>
      <c r="BX15" s="64"/>
      <c r="BY15" s="64"/>
      <c r="BZ15" s="64"/>
      <c r="CA15" s="64"/>
      <c r="CB15" s="64"/>
      <c r="CC15" s="64"/>
      <c r="CD15" s="64"/>
      <c r="CE15" s="64"/>
      <c r="CF15" s="63">
        <v>0</v>
      </c>
    </row>
    <row r="16" s="63" customFormat="1" ht="15" hidden="1" customHeight="1">
      <c r="A16" s="840"/>
      <c r="B16" s="63"/>
      <c r="C16" s="63"/>
      <c r="D16" s="851"/>
      <c r="E16" s="842" t="s">
        <v>567</v>
      </c>
      <c r="F16" s="843"/>
      <c r="G16" s="844"/>
      <c r="H16" s="79" t="str">
        <f>IF(A14="","",INDEX(DIFFERENTIATION_UNMERGE_SYSTEM,MATCH(A14,DIFFERENTIATION_ID_DIFF,0)))</f>
        <v xml:space="preserve">без дифференциации</v>
      </c>
      <c r="I16" s="79"/>
      <c r="J16" s="79"/>
      <c r="K16" s="79"/>
      <c r="L16" s="79"/>
      <c r="M16" s="79"/>
      <c r="N16" s="79"/>
      <c r="O16" s="79"/>
      <c r="P16" s="79"/>
      <c r="Q16" s="79"/>
      <c r="R16" s="79"/>
      <c r="S16" s="845"/>
      <c r="T16" s="846"/>
      <c r="U16" s="167"/>
      <c r="V16" s="167"/>
      <c r="W16" s="64"/>
      <c r="X16" s="64"/>
      <c r="Y16" s="64"/>
      <c r="Z16" s="64"/>
      <c r="AA16" s="167"/>
      <c r="AB16" s="64"/>
      <c r="AC16" s="847"/>
      <c r="AD16" s="64"/>
      <c r="AE16" s="848"/>
      <c r="AF16" s="848"/>
      <c r="AG16" s="849"/>
      <c r="AH16" s="850"/>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64"/>
      <c r="BW16" s="64"/>
      <c r="BX16" s="64"/>
      <c r="BY16" s="64"/>
      <c r="BZ16" s="64"/>
      <c r="CA16" s="64"/>
      <c r="CB16" s="64"/>
      <c r="CC16" s="64"/>
      <c r="CD16" s="64"/>
      <c r="CE16" s="64"/>
      <c r="CF16" s="63">
        <v>0</v>
      </c>
    </row>
    <row r="17" s="63" customFormat="1" ht="22.5" hidden="1" customHeight="1">
      <c r="A17" s="113"/>
      <c r="B17" s="53"/>
      <c r="C17" s="168"/>
      <c r="D17" s="851"/>
      <c r="E17" s="852" t="s">
        <v>612</v>
      </c>
      <c r="F17" s="852"/>
      <c r="G17" s="852"/>
      <c r="H17" s="852"/>
      <c r="I17" s="852"/>
      <c r="J17" s="852"/>
      <c r="K17" s="852"/>
      <c r="L17" s="852"/>
      <c r="M17" s="852"/>
      <c r="N17" s="852"/>
      <c r="O17" s="852"/>
      <c r="P17" s="852"/>
      <c r="Q17" s="785">
        <f>SUMIF(T18:T19,"i",Q18:Q19)</f>
        <v>0</v>
      </c>
      <c r="R17" s="853"/>
      <c r="S17" s="330" t="s">
        <v>613</v>
      </c>
      <c r="T17" s="846" t="s">
        <v>614</v>
      </c>
      <c r="U17" s="132">
        <v>1</v>
      </c>
      <c r="V17" s="132" t="str">
        <f>INDEX(B_FHD_FLAG_INDEX_1,1,MATCH(A14,B_FHD_FLAG_DIFFERENTIATION,0))</f>
        <v>отсутствует</v>
      </c>
      <c r="W17" s="53"/>
      <c r="X17" s="53"/>
      <c r="Y17" s="53"/>
      <c r="Z17" s="53"/>
      <c r="AA17" s="57"/>
      <c r="AB17" s="53"/>
      <c r="AC17" s="847"/>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2"/>
      <c r="B18" s="57"/>
      <c r="C18" s="57"/>
      <c r="D18" s="851"/>
      <c r="E18" s="366"/>
      <c r="F18" s="366">
        <v>0</v>
      </c>
      <c r="G18" s="366"/>
      <c r="H18" s="366"/>
      <c r="I18" s="366"/>
      <c r="J18" s="366"/>
      <c r="K18" s="366"/>
      <c r="L18" s="366"/>
      <c r="M18" s="366"/>
      <c r="N18" s="366"/>
      <c r="O18" s="366"/>
      <c r="P18" s="366"/>
      <c r="Q18" s="366"/>
      <c r="R18" s="366"/>
      <c r="S18" s="365"/>
      <c r="T18" s="854"/>
      <c r="U18" s="132"/>
      <c r="V18" s="132"/>
      <c r="W18" s="57"/>
      <c r="X18" s="57"/>
      <c r="Y18" s="57"/>
      <c r="Z18" s="57"/>
      <c r="AA18" s="57"/>
      <c r="AB18" s="53"/>
      <c r="AC18" s="847"/>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3"/>
      <c r="B19" s="53"/>
      <c r="C19" s="168"/>
      <c r="D19" s="851"/>
      <c r="E19" s="652" t="s">
        <v>28</v>
      </c>
      <c r="F19" s="172" t="s">
        <v>28</v>
      </c>
      <c r="G19" s="172" t="s">
        <v>28</v>
      </c>
      <c r="H19" s="177" t="s">
        <v>28</v>
      </c>
      <c r="I19" s="177"/>
      <c r="J19" s="177"/>
      <c r="K19" s="177"/>
      <c r="L19" s="177"/>
      <c r="M19" s="177"/>
      <c r="N19" s="177"/>
      <c r="O19" s="177"/>
      <c r="P19" s="177"/>
      <c r="Q19" s="177"/>
      <c r="R19" s="229"/>
      <c r="S19" s="852"/>
      <c r="T19" s="854"/>
      <c r="U19" s="132"/>
      <c r="V19" s="132"/>
      <c r="W19" s="53"/>
      <c r="X19" s="53"/>
      <c r="Y19" s="53"/>
      <c r="Z19" s="53"/>
      <c r="AA19" s="57"/>
      <c r="AB19" s="53"/>
      <c r="AC19" s="847"/>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3"/>
      <c r="B20" s="53"/>
      <c r="C20" s="168"/>
      <c r="D20" s="851"/>
      <c r="E20" s="852" t="s">
        <v>615</v>
      </c>
      <c r="F20" s="852"/>
      <c r="G20" s="852"/>
      <c r="H20" s="852"/>
      <c r="I20" s="852"/>
      <c r="J20" s="852"/>
      <c r="K20" s="852"/>
      <c r="L20" s="852"/>
      <c r="M20" s="852"/>
      <c r="N20" s="852"/>
      <c r="O20" s="852"/>
      <c r="P20" s="852"/>
      <c r="Q20" s="785">
        <f>SUMIF(T21:T22,"i",Q21:Q22)</f>
        <v>0</v>
      </c>
      <c r="R20" s="853"/>
      <c r="S20" s="330" t="s">
        <v>616</v>
      </c>
      <c r="T20" s="846" t="s">
        <v>614</v>
      </c>
      <c r="U20" s="132">
        <v>2</v>
      </c>
      <c r="V20" s="132" t="str">
        <f>INDEX(B_FHD_FLAG_INDEX_2,1,MATCH(A14,B_FHD_FLAG_DIFFERENTIATION,0))</f>
        <v>отсутствует</v>
      </c>
      <c r="W20" s="53"/>
      <c r="X20" s="53"/>
      <c r="Y20" s="53"/>
      <c r="Z20" s="53"/>
      <c r="AA20" s="57"/>
      <c r="AB20" s="53"/>
      <c r="AC20" s="847"/>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2"/>
      <c r="B21" s="57"/>
      <c r="C21" s="57"/>
      <c r="D21" s="851"/>
      <c r="E21" s="366"/>
      <c r="F21" s="366">
        <v>0</v>
      </c>
      <c r="G21" s="366"/>
      <c r="H21" s="366"/>
      <c r="I21" s="366"/>
      <c r="J21" s="366"/>
      <c r="K21" s="366"/>
      <c r="L21" s="366"/>
      <c r="M21" s="366"/>
      <c r="N21" s="366"/>
      <c r="O21" s="366"/>
      <c r="P21" s="366"/>
      <c r="Q21" s="366"/>
      <c r="R21" s="366"/>
      <c r="S21" s="365"/>
      <c r="T21" s="854"/>
      <c r="U21" s="132"/>
      <c r="V21" s="132"/>
      <c r="W21" s="57"/>
      <c r="X21" s="57"/>
      <c r="Y21" s="57"/>
      <c r="Z21" s="57"/>
      <c r="AA21" s="57"/>
      <c r="AB21" s="53"/>
      <c r="AC21" s="847"/>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3"/>
      <c r="B22" s="53"/>
      <c r="C22" s="168"/>
      <c r="D22" s="855"/>
      <c r="E22" s="652" t="s">
        <v>28</v>
      </c>
      <c r="F22" s="172" t="s">
        <v>28</v>
      </c>
      <c r="G22" s="172" t="s">
        <v>28</v>
      </c>
      <c r="H22" s="177" t="s">
        <v>28</v>
      </c>
      <c r="I22" s="177"/>
      <c r="J22" s="177"/>
      <c r="K22" s="177"/>
      <c r="L22" s="177"/>
      <c r="M22" s="177"/>
      <c r="N22" s="177"/>
      <c r="O22" s="177"/>
      <c r="P22" s="177"/>
      <c r="Q22" s="177"/>
      <c r="R22" s="229"/>
      <c r="S22" s="852"/>
      <c r="T22" s="854"/>
      <c r="U22" s="132"/>
      <c r="V22" s="132"/>
      <c r="W22" s="53"/>
      <c r="X22" s="53"/>
      <c r="Y22" s="53"/>
      <c r="Z22" s="53"/>
      <c r="AA22" s="57"/>
      <c r="AB22" s="53"/>
      <c r="AC22" s="847"/>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56"/>
      <c r="E23" s="856"/>
      <c r="F23" s="856"/>
      <c r="G23" s="856"/>
      <c r="H23" s="856"/>
      <c r="I23" s="856"/>
      <c r="J23" s="856"/>
      <c r="K23" s="856"/>
      <c r="L23" s="856"/>
      <c r="M23" s="856"/>
      <c r="N23" s="856"/>
      <c r="O23" s="856"/>
      <c r="P23" s="856"/>
      <c r="Q23" s="856"/>
      <c r="R23" s="856"/>
      <c r="S23" s="856"/>
      <c r="T23" s="838"/>
      <c r="CF23" s="50">
        <v>19</v>
      </c>
    </row>
    <row r="24" ht="11.5" customHeight="1">
      <c r="D24" s="50"/>
      <c r="CF24" s="50">
        <v>11</v>
      </c>
    </row>
    <row r="25" ht="11.5" customHeight="1">
      <c r="D25" s="140"/>
      <c r="E25" s="140"/>
      <c r="F25" s="140"/>
      <c r="G25" s="184"/>
      <c r="CF25" s="50">
        <v>11</v>
      </c>
    </row>
    <row r="26" ht="11.5" customHeight="1">
      <c r="CF26" s="50">
        <v>11</v>
      </c>
    </row>
    <row r="27" ht="11.5" customHeight="1">
      <c r="D27" s="410"/>
      <c r="E27" s="857"/>
      <c r="F27" s="857"/>
      <c r="G27" s="857"/>
      <c r="H27" s="857"/>
      <c r="I27" s="857"/>
      <c r="J27" s="857"/>
      <c r="K27" s="857"/>
      <c r="L27" s="857"/>
      <c r="M27" s="857"/>
      <c r="N27" s="857"/>
      <c r="O27" s="857"/>
      <c r="P27" s="857"/>
      <c r="Q27" s="857"/>
      <c r="R27" s="857"/>
      <c r="CF27" s="50">
        <v>11</v>
      </c>
    </row>
    <row r="28" ht="11.5" customHeight="1">
      <c r="F28" s="50"/>
      <c r="G28" s="50"/>
      <c r="CF28" s="50">
        <v>11</v>
      </c>
    </row>
    <row r="29" ht="11.25" hidden="1" customHeight="1">
      <c r="A29" s="831" t="s">
        <v>82</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0" deleteRows="0" formatCells="1" formatColumns="0" formatRows="0" insertColumns="1" insertHyperlinks="1" insertRows="0" pivotTables="1" selectLockedCells="0" selectUnlockedCells="0" sheet="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62"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63" width="8.00390625"/>
    <col customWidth="1" min="27" max="31" style="53" width="8.00390625"/>
    <col customWidth="1" min="32" max="36" style="56" width="8.00390625"/>
    <col customWidth="1" hidden="1" min="37" max="37" style="50" width="5.421875"/>
  </cols>
  <sheetData>
    <row r="1" s="53" customFormat="1" ht="33.75" hidden="1" customHeight="1">
      <c r="A1" s="762"/>
      <c r="B1" s="762"/>
      <c r="C1" s="762"/>
      <c r="D1" s="762"/>
      <c r="E1" s="762"/>
      <c r="G1" s="57"/>
      <c r="H1" s="53"/>
      <c r="L1" s="53">
        <v>4</v>
      </c>
      <c r="M1" s="53">
        <v>4</v>
      </c>
      <c r="Q1" s="57"/>
      <c r="R1" s="57"/>
      <c r="W1" s="57"/>
      <c r="AK1" s="53" t="s">
        <v>14</v>
      </c>
    </row>
    <row r="2" s="53" customFormat="1" ht="78.75" hidden="1" customHeight="1">
      <c r="A2" s="762"/>
      <c r="B2" s="858" t="s">
        <v>617</v>
      </c>
      <c r="C2" s="858" t="s">
        <v>618</v>
      </c>
      <c r="D2" s="859" t="s">
        <v>619</v>
      </c>
      <c r="E2" s="860" t="e">
        <f>RIGHT(I2,LEN(I2)-SEARCH("#",SUBSTITUTE(I2,".","#",LEN(I2)-LEN(SUBSTITUTE(I2,".","")))))</f>
        <v>#VALUE!</v>
      </c>
      <c r="F2" s="860">
        <f>J2</f>
        <v>0</v>
      </c>
      <c r="G2" s="57"/>
      <c r="H2" s="206"/>
      <c r="I2" s="218"/>
      <c r="J2" s="159"/>
      <c r="K2" s="72" t="s">
        <v>558</v>
      </c>
      <c r="L2" s="521"/>
      <c r="M2" s="521"/>
      <c r="N2" s="766"/>
      <c r="O2" s="499" t="s">
        <v>559</v>
      </c>
      <c r="P2" s="766"/>
      <c r="Q2" s="57"/>
      <c r="R2" s="57"/>
      <c r="W2" s="57"/>
      <c r="Z2" s="763"/>
      <c r="AF2" s="56"/>
      <c r="AG2" s="56"/>
      <c r="AH2" s="56"/>
      <c r="AI2" s="56"/>
      <c r="AJ2" s="56"/>
      <c r="AK2" s="53">
        <v>0</v>
      </c>
    </row>
    <row r="3" ht="11.25" hidden="1" customHeight="1">
      <c r="E3" s="861" t="s">
        <v>620</v>
      </c>
      <c r="L3" s="50">
        <f>0</f>
        <v>0</v>
      </c>
      <c r="M3" s="50">
        <v>1</v>
      </c>
      <c r="AK3" s="50">
        <v>0</v>
      </c>
    </row>
    <row r="4" s="56" customFormat="1" ht="11.25" hidden="1" customHeight="1">
      <c r="A4" s="762"/>
      <c r="B4" s="762"/>
      <c r="C4" s="762"/>
      <c r="E4" s="762"/>
      <c r="F4" s="53"/>
      <c r="G4" s="57"/>
      <c r="H4" s="56"/>
      <c r="N4" s="53"/>
      <c r="O4" s="56">
        <v>4</v>
      </c>
      <c r="P4" s="53"/>
      <c r="Q4" s="57"/>
      <c r="R4" s="57"/>
      <c r="S4" s="53"/>
      <c r="T4" s="53"/>
      <c r="U4" s="53"/>
      <c r="V4" s="53"/>
      <c r="W4" s="57"/>
      <c r="X4" s="53"/>
      <c r="Y4" s="53"/>
      <c r="Z4" s="763"/>
      <c r="AA4" s="53"/>
      <c r="AB4" s="53"/>
      <c r="AC4" s="53"/>
      <c r="AD4" s="53"/>
      <c r="AE4" s="53"/>
      <c r="AK4" s="56">
        <v>0</v>
      </c>
    </row>
    <row r="5" ht="11.5" customHeight="1">
      <c r="AK5" s="50">
        <v>11</v>
      </c>
    </row>
    <row r="6" ht="57.75" customHeight="1">
      <c r="I6" s="315" t="s">
        <v>621</v>
      </c>
      <c r="J6" s="315"/>
      <c r="K6" s="315"/>
      <c r="L6" s="315"/>
      <c r="M6" s="315"/>
      <c r="O6" s="240"/>
      <c r="AK6" s="50">
        <v>55</v>
      </c>
    </row>
    <row r="7" ht="25.199999999999999" customHeight="1">
      <c r="I7" s="320" t="str">
        <f>IF(org=0,"Не определено",org)</f>
        <v xml:space="preserve">филиал Пермская ГРЭС АО "Интер РАО - Электрогенерация"</v>
      </c>
      <c r="J7" s="320"/>
      <c r="K7" s="320"/>
      <c r="L7" s="320"/>
      <c r="M7" s="320"/>
      <c r="AK7" s="50">
        <v>24</v>
      </c>
    </row>
    <row r="8" ht="11.5" customHeight="1">
      <c r="I8" s="776"/>
      <c r="J8" s="776"/>
      <c r="K8" s="776"/>
      <c r="L8" s="776"/>
      <c r="M8" s="776"/>
      <c r="AK8" s="50">
        <v>11</v>
      </c>
    </row>
    <row r="9" s="57" customFormat="1" ht="30" hidden="1" customHeight="1">
      <c r="A9" s="545"/>
      <c r="B9" s="545"/>
      <c r="C9" s="545"/>
      <c r="E9" s="545"/>
      <c r="H9" s="57"/>
      <c r="L9" s="777"/>
      <c r="M9" s="777" t="s">
        <v>117</v>
      </c>
      <c r="AK9" s="57">
        <v>1</v>
      </c>
    </row>
    <row r="10" ht="11.5" customHeight="1">
      <c r="E10" s="862" t="s">
        <v>622</v>
      </c>
      <c r="I10" s="778"/>
      <c r="J10" s="779" t="s">
        <v>105</v>
      </c>
      <c r="K10" s="780"/>
      <c r="L10" s="781" t="str">
        <f>IF(L9="","",INDEX(DIFFERENTIATION_UNMERGE_VD,MATCH(L9,DIFFERENTIATION_ID_DIFF,0)))</f>
        <v/>
      </c>
      <c r="M10" s="781">
        <f>IF(M9="","",INDEX(DIFFERENTIATION_UNMERGE_VD,MATCH(M9,DIFFERENTIATION_ID_DIFF,0)))</f>
        <v>0</v>
      </c>
      <c r="O10" s="157" t="s">
        <v>303</v>
      </c>
      <c r="AK10" s="50">
        <v>11</v>
      </c>
    </row>
    <row r="11" ht="11.5" customHeight="1">
      <c r="E11" s="862" t="s">
        <v>623</v>
      </c>
      <c r="I11" s="778"/>
      <c r="J11" s="779" t="s">
        <v>566</v>
      </c>
      <c r="K11" s="780"/>
      <c r="L11" s="781" t="str">
        <f>IF(L9="","",INDEX(DIFFERENTIATION_UNMERGE_AREA,MATCH(L9,DIFFERENTIATION_ID_DIFF,0)))</f>
        <v/>
      </c>
      <c r="M11" s="781" t="str">
        <f>IF(M9="","",INDEX(DIFFERENTIATION_UNMERGE_AREA,MATCH(M9,DIFFERENTIATION_ID_DIFF,0)))</f>
        <v/>
      </c>
      <c r="O11" s="157"/>
      <c r="AK11" s="50">
        <v>11</v>
      </c>
    </row>
    <row r="12" ht="11.5" customHeight="1">
      <c r="E12" s="862" t="s">
        <v>624</v>
      </c>
      <c r="I12" s="863"/>
      <c r="J12" s="779" t="s">
        <v>567</v>
      </c>
      <c r="K12" s="780"/>
      <c r="L12" s="781" t="str">
        <f>IF(L9="","",INDEX(DIFFERENTIATION_UNMERGE_SYSTEM,MATCH(L9,DIFFERENTIATION_ID_DIFF,0)))</f>
        <v/>
      </c>
      <c r="M12" s="781" t="str">
        <f>IF(M9="","",INDEX(DIFFERENTIATION_UNMERGE_SYSTEM,MATCH(M9,DIFFERENTIATION_ID_DIFF,0)))</f>
        <v xml:space="preserve">без дифференциации</v>
      </c>
      <c r="O12" s="157"/>
      <c r="AK12" s="50">
        <v>11</v>
      </c>
    </row>
    <row r="13" ht="11.5" customHeight="1">
      <c r="E13" s="862" t="s">
        <v>625</v>
      </c>
      <c r="F13" s="862" t="s">
        <v>626</v>
      </c>
      <c r="I13" s="782" t="s">
        <v>302</v>
      </c>
      <c r="J13" s="783"/>
      <c r="K13" s="783"/>
      <c r="L13" s="779"/>
      <c r="M13" s="864"/>
      <c r="O13" s="157"/>
      <c r="AK13" s="50">
        <v>11</v>
      </c>
    </row>
    <row r="14" ht="24" customHeight="1">
      <c r="I14" s="157" t="s">
        <v>88</v>
      </c>
      <c r="J14" s="157" t="s">
        <v>304</v>
      </c>
      <c r="K14" s="157" t="s">
        <v>568</v>
      </c>
      <c r="L14" s="73" t="s">
        <v>305</v>
      </c>
      <c r="M14" s="157" t="s">
        <v>305</v>
      </c>
      <c r="O14" s="157"/>
      <c r="AK14" s="50">
        <v>23</v>
      </c>
    </row>
    <row r="15" ht="24" customHeight="1">
      <c r="A15" s="865"/>
      <c r="B15" s="858" t="s">
        <v>627</v>
      </c>
      <c r="C15" s="858" t="s">
        <v>628</v>
      </c>
      <c r="D15" s="859" t="s">
        <v>629</v>
      </c>
      <c r="E15" s="860" t="s">
        <v>630</v>
      </c>
      <c r="F15" s="860" t="s">
        <v>630</v>
      </c>
      <c r="G15" s="57" t="s">
        <v>590</v>
      </c>
      <c r="H15" s="125"/>
      <c r="I15" s="866">
        <v>1</v>
      </c>
      <c r="J15" s="330" t="s">
        <v>631</v>
      </c>
      <c r="K15" s="157" t="s">
        <v>308</v>
      </c>
      <c r="L15" s="867"/>
      <c r="M15" s="815"/>
      <c r="N15" s="766" t="s">
        <v>632</v>
      </c>
      <c r="O15" s="499" t="s">
        <v>633</v>
      </c>
      <c r="P15" s="766" t="s">
        <v>632</v>
      </c>
      <c r="AK15" s="50">
        <v>23</v>
      </c>
    </row>
    <row r="16" ht="35.649999999999999" customHeight="1">
      <c r="A16" s="865"/>
      <c r="B16" s="858" t="s">
        <v>634</v>
      </c>
      <c r="C16" s="858" t="s">
        <v>635</v>
      </c>
      <c r="D16" s="859" t="s">
        <v>619</v>
      </c>
      <c r="E16" s="860" t="s">
        <v>630</v>
      </c>
      <c r="F16" s="860" t="s">
        <v>630</v>
      </c>
      <c r="H16" s="125"/>
      <c r="I16" s="868">
        <v>2</v>
      </c>
      <c r="J16" s="343" t="s">
        <v>636</v>
      </c>
      <c r="K16" s="324" t="s">
        <v>558</v>
      </c>
      <c r="L16" s="869"/>
      <c r="M16" s="870"/>
      <c r="N16" s="766" t="s">
        <v>632</v>
      </c>
      <c r="O16" s="499" t="s">
        <v>637</v>
      </c>
      <c r="P16" s="766" t="s">
        <v>632</v>
      </c>
      <c r="AK16" s="50">
        <v>34</v>
      </c>
    </row>
    <row r="17" s="57" customFormat="1" ht="17.25" hidden="1" customHeight="1">
      <c r="A17" s="545"/>
      <c r="B17" s="545"/>
      <c r="C17" s="545"/>
      <c r="D17" s="545"/>
      <c r="E17" s="545"/>
      <c r="H17" s="545"/>
      <c r="I17" s="158" t="s">
        <v>638</v>
      </c>
      <c r="J17" s="808"/>
      <c r="K17" s="158"/>
      <c r="L17" s="809"/>
      <c r="M17" s="809"/>
      <c r="O17" s="605"/>
      <c r="AK17" s="57">
        <v>1</v>
      </c>
    </row>
    <row r="18" s="53" customFormat="1" ht="24" customHeight="1">
      <c r="A18" s="762"/>
      <c r="B18" s="762"/>
      <c r="C18" s="762"/>
      <c r="D18" s="762"/>
      <c r="E18" s="762"/>
      <c r="G18" s="57"/>
      <c r="H18" s="128"/>
      <c r="I18" s="797"/>
      <c r="J18" s="235" t="s">
        <v>588</v>
      </c>
      <c r="K18" s="798"/>
      <c r="L18" s="871"/>
      <c r="M18" s="799"/>
      <c r="N18" s="766"/>
      <c r="O18" s="499" t="s">
        <v>589</v>
      </c>
      <c r="P18" s="766"/>
      <c r="Q18" s="57"/>
      <c r="R18" s="57"/>
      <c r="W18" s="57"/>
      <c r="Z18" s="763"/>
      <c r="AF18" s="56"/>
      <c r="AG18" s="56"/>
      <c r="AH18" s="56"/>
      <c r="AI18" s="56"/>
      <c r="AJ18" s="56"/>
      <c r="AK18" s="53">
        <v>23</v>
      </c>
    </row>
    <row r="19" ht="19.949999999999999" customHeight="1">
      <c r="A19" s="865"/>
      <c r="B19" s="858" t="s">
        <v>639</v>
      </c>
      <c r="C19" s="858" t="s">
        <v>640</v>
      </c>
      <c r="D19" s="859" t="s">
        <v>619</v>
      </c>
      <c r="E19" s="860" t="s">
        <v>630</v>
      </c>
      <c r="F19" s="860" t="s">
        <v>630</v>
      </c>
      <c r="H19" s="125"/>
      <c r="I19" s="872">
        <v>3</v>
      </c>
      <c r="J19" s="330" t="s">
        <v>640</v>
      </c>
      <c r="K19" s="145" t="s">
        <v>558</v>
      </c>
      <c r="L19" s="873"/>
      <c r="M19" s="784"/>
      <c r="N19" s="766"/>
      <c r="O19" s="499" t="s">
        <v>641</v>
      </c>
      <c r="P19" s="766"/>
      <c r="AK19" s="50">
        <v>19</v>
      </c>
    </row>
    <row r="20" ht="77.700000000000003" customHeight="1">
      <c r="A20" s="865"/>
      <c r="B20" s="858" t="s">
        <v>642</v>
      </c>
      <c r="C20" s="858" t="s">
        <v>643</v>
      </c>
      <c r="D20" s="859" t="s">
        <v>619</v>
      </c>
      <c r="E20" s="860" t="s">
        <v>630</v>
      </c>
      <c r="F20" s="860" t="s">
        <v>630</v>
      </c>
      <c r="H20" s="125"/>
      <c r="I20" s="872">
        <v>4</v>
      </c>
      <c r="J20" s="330" t="s">
        <v>644</v>
      </c>
      <c r="K20" s="145" t="s">
        <v>585</v>
      </c>
      <c r="L20" s="873"/>
      <c r="M20" s="784"/>
      <c r="N20" s="766"/>
      <c r="O20" s="499"/>
      <c r="P20" s="766"/>
      <c r="AK20" s="50">
        <v>74</v>
      </c>
    </row>
    <row r="21" ht="35.649999999999999" customHeight="1">
      <c r="A21" s="865"/>
      <c r="B21" s="858" t="s">
        <v>645</v>
      </c>
      <c r="C21" s="858" t="s">
        <v>646</v>
      </c>
      <c r="D21" s="859" t="s">
        <v>619</v>
      </c>
      <c r="E21" s="860" t="s">
        <v>630</v>
      </c>
      <c r="F21" s="860" t="s">
        <v>630</v>
      </c>
      <c r="H21" s="125"/>
      <c r="I21" s="872">
        <v>5</v>
      </c>
      <c r="J21" s="330" t="s">
        <v>647</v>
      </c>
      <c r="K21" s="145" t="s">
        <v>585</v>
      </c>
      <c r="L21" s="873"/>
      <c r="M21" s="784"/>
      <c r="N21" s="766"/>
      <c r="O21" s="499" t="s">
        <v>641</v>
      </c>
      <c r="P21" s="766"/>
      <c r="AK21" s="50">
        <v>34</v>
      </c>
    </row>
    <row r="22" ht="48.25" customHeight="1">
      <c r="A22" s="865"/>
      <c r="B22" s="858" t="s">
        <v>648</v>
      </c>
      <c r="C22" s="858" t="s">
        <v>649</v>
      </c>
      <c r="D22" s="859" t="s">
        <v>619</v>
      </c>
      <c r="E22" s="860" t="s">
        <v>630</v>
      </c>
      <c r="F22" s="860" t="s">
        <v>630</v>
      </c>
      <c r="H22" s="125"/>
      <c r="I22" s="872">
        <v>6</v>
      </c>
      <c r="J22" s="330" t="s">
        <v>650</v>
      </c>
      <c r="K22" s="145" t="s">
        <v>585</v>
      </c>
      <c r="L22" s="873"/>
      <c r="M22" s="784"/>
      <c r="N22" s="766"/>
      <c r="O22" s="499" t="s">
        <v>651</v>
      </c>
      <c r="P22" s="766"/>
      <c r="AK22" s="50">
        <v>46</v>
      </c>
    </row>
    <row r="23" ht="19.949999999999999" customHeight="1">
      <c r="A23" s="865"/>
      <c r="B23" s="858" t="s">
        <v>652</v>
      </c>
      <c r="C23" s="858" t="s">
        <v>653</v>
      </c>
      <c r="D23" s="859" t="s">
        <v>619</v>
      </c>
      <c r="E23" s="860" t="s">
        <v>630</v>
      </c>
      <c r="F23" s="860" t="s">
        <v>630</v>
      </c>
      <c r="H23" s="125"/>
      <c r="I23" s="872" t="s">
        <v>654</v>
      </c>
      <c r="J23" s="686" t="s">
        <v>655</v>
      </c>
      <c r="K23" s="145" t="s">
        <v>585</v>
      </c>
      <c r="L23" s="873"/>
      <c r="M23" s="784"/>
      <c r="N23" s="766"/>
      <c r="O23" s="499" t="s">
        <v>641</v>
      </c>
      <c r="P23" s="766"/>
      <c r="AK23" s="50">
        <v>19</v>
      </c>
    </row>
    <row r="24" ht="19.949999999999999" customHeight="1">
      <c r="A24" s="865"/>
      <c r="B24" s="858" t="s">
        <v>656</v>
      </c>
      <c r="C24" s="858" t="s">
        <v>657</v>
      </c>
      <c r="D24" s="859" t="s">
        <v>619</v>
      </c>
      <c r="E24" s="860" t="s">
        <v>630</v>
      </c>
      <c r="F24" s="860" t="s">
        <v>630</v>
      </c>
      <c r="H24" s="125"/>
      <c r="I24" s="872" t="s">
        <v>658</v>
      </c>
      <c r="J24" s="686" t="s">
        <v>659</v>
      </c>
      <c r="K24" s="145" t="s">
        <v>585</v>
      </c>
      <c r="L24" s="873"/>
      <c r="M24" s="784"/>
      <c r="N24" s="766"/>
      <c r="O24" s="499"/>
      <c r="P24" s="766"/>
      <c r="AK24" s="50">
        <v>19</v>
      </c>
    </row>
    <row r="25" ht="24" customHeight="1">
      <c r="A25" s="865"/>
      <c r="B25" s="858" t="s">
        <v>660</v>
      </c>
      <c r="C25" s="858" t="s">
        <v>661</v>
      </c>
      <c r="D25" s="859" t="s">
        <v>619</v>
      </c>
      <c r="E25" s="860" t="s">
        <v>630</v>
      </c>
      <c r="F25" s="860" t="s">
        <v>630</v>
      </c>
      <c r="H25" s="125"/>
      <c r="I25" s="872" t="s">
        <v>662</v>
      </c>
      <c r="J25" s="686" t="s">
        <v>663</v>
      </c>
      <c r="K25" s="145" t="s">
        <v>585</v>
      </c>
      <c r="L25" s="873"/>
      <c r="M25" s="784"/>
      <c r="N25" s="766"/>
      <c r="O25" s="499"/>
      <c r="P25" s="766"/>
      <c r="AK25" s="50">
        <v>23</v>
      </c>
    </row>
    <row r="26" ht="24" customHeight="1">
      <c r="A26" s="865"/>
      <c r="B26" s="858" t="s">
        <v>664</v>
      </c>
      <c r="C26" s="858" t="s">
        <v>665</v>
      </c>
      <c r="D26" s="859" t="s">
        <v>619</v>
      </c>
      <c r="E26" s="860" t="s">
        <v>630</v>
      </c>
      <c r="F26" s="860" t="s">
        <v>630</v>
      </c>
      <c r="H26" s="125"/>
      <c r="I26" s="872">
        <v>7</v>
      </c>
      <c r="J26" s="330" t="s">
        <v>665</v>
      </c>
      <c r="K26" s="145" t="s">
        <v>666</v>
      </c>
      <c r="L26" s="873"/>
      <c r="M26" s="784"/>
      <c r="N26" s="766"/>
      <c r="O26" s="499"/>
      <c r="P26" s="766"/>
      <c r="AK26" s="50">
        <v>23</v>
      </c>
    </row>
    <row r="27" ht="24" customHeight="1">
      <c r="A27" s="865"/>
      <c r="B27" s="858" t="s">
        <v>667</v>
      </c>
      <c r="C27" s="858" t="s">
        <v>668</v>
      </c>
      <c r="D27" s="859" t="s">
        <v>619</v>
      </c>
      <c r="E27" s="860" t="s">
        <v>630</v>
      </c>
      <c r="F27" s="860" t="s">
        <v>630</v>
      </c>
      <c r="H27" s="125"/>
      <c r="I27" s="872">
        <v>8</v>
      </c>
      <c r="J27" s="330" t="s">
        <v>668</v>
      </c>
      <c r="K27" s="145" t="s">
        <v>591</v>
      </c>
      <c r="L27" s="873"/>
      <c r="M27" s="784"/>
      <c r="N27" s="766"/>
      <c r="O27" s="499"/>
      <c r="P27" s="766"/>
      <c r="AK27" s="50">
        <v>23</v>
      </c>
    </row>
    <row r="28" ht="35.649999999999999" customHeight="1">
      <c r="A28" s="865"/>
      <c r="B28" s="858" t="s">
        <v>669</v>
      </c>
      <c r="C28" s="858" t="s">
        <v>670</v>
      </c>
      <c r="D28" s="859" t="s">
        <v>619</v>
      </c>
      <c r="E28" s="860" t="s">
        <v>630</v>
      </c>
      <c r="F28" s="860" t="s">
        <v>630</v>
      </c>
      <c r="H28" s="125"/>
      <c r="I28" s="874">
        <v>9</v>
      </c>
      <c r="J28" s="330" t="s">
        <v>671</v>
      </c>
      <c r="K28" s="145" t="s">
        <v>562</v>
      </c>
      <c r="L28" s="873"/>
      <c r="M28" s="784"/>
      <c r="N28" s="766"/>
      <c r="O28" s="499"/>
      <c r="P28" s="766"/>
      <c r="AK28" s="50">
        <v>34</v>
      </c>
    </row>
    <row r="29" ht="35.649999999999999" customHeight="1">
      <c r="A29" s="865"/>
      <c r="B29" s="858" t="s">
        <v>672</v>
      </c>
      <c r="C29" s="858" t="s">
        <v>673</v>
      </c>
      <c r="D29" s="859" t="s">
        <v>619</v>
      </c>
      <c r="E29" s="860" t="s">
        <v>630</v>
      </c>
      <c r="F29" s="860" t="s">
        <v>630</v>
      </c>
      <c r="H29" s="125"/>
      <c r="I29" s="874">
        <v>10</v>
      </c>
      <c r="J29" s="330" t="s">
        <v>674</v>
      </c>
      <c r="K29" s="145" t="s">
        <v>562</v>
      </c>
      <c r="L29" s="873"/>
      <c r="M29" s="784"/>
      <c r="N29" s="766"/>
      <c r="O29" s="499"/>
      <c r="P29" s="766"/>
      <c r="AK29" s="50">
        <v>34</v>
      </c>
    </row>
    <row r="30" ht="24" customHeight="1">
      <c r="A30" s="865"/>
      <c r="B30" s="858" t="s">
        <v>675</v>
      </c>
      <c r="C30" s="858" t="s">
        <v>676</v>
      </c>
      <c r="D30" s="859" t="s">
        <v>619</v>
      </c>
      <c r="E30" s="860" t="s">
        <v>630</v>
      </c>
      <c r="F30" s="860" t="s">
        <v>630</v>
      </c>
      <c r="H30" s="125"/>
      <c r="I30" s="874">
        <v>11</v>
      </c>
      <c r="J30" s="330" t="s">
        <v>676</v>
      </c>
      <c r="K30" s="145" t="s">
        <v>592</v>
      </c>
      <c r="L30" s="875"/>
      <c r="M30" s="463"/>
      <c r="N30" s="766"/>
      <c r="O30" s="499"/>
      <c r="P30" s="766"/>
      <c r="AK30" s="50">
        <v>23</v>
      </c>
    </row>
    <row r="31" ht="24" customHeight="1">
      <c r="A31" s="865"/>
      <c r="B31" s="858" t="s">
        <v>677</v>
      </c>
      <c r="C31" s="858" t="s">
        <v>678</v>
      </c>
      <c r="D31" s="859" t="s">
        <v>619</v>
      </c>
      <c r="E31" s="860" t="s">
        <v>630</v>
      </c>
      <c r="F31" s="860" t="s">
        <v>630</v>
      </c>
      <c r="H31" s="125"/>
      <c r="I31" s="874">
        <v>12</v>
      </c>
      <c r="J31" s="330" t="s">
        <v>678</v>
      </c>
      <c r="K31" s="145" t="s">
        <v>592</v>
      </c>
      <c r="L31" s="875"/>
      <c r="M31" s="463"/>
      <c r="N31" s="766"/>
      <c r="O31" s="499"/>
      <c r="P31" s="766"/>
      <c r="AK31" s="50">
        <v>23</v>
      </c>
    </row>
    <row r="32" ht="48.25" customHeight="1">
      <c r="A32" s="865"/>
      <c r="B32" s="858" t="s">
        <v>679</v>
      </c>
      <c r="C32" s="858" t="s">
        <v>680</v>
      </c>
      <c r="D32" s="859" t="s">
        <v>619</v>
      </c>
      <c r="E32" s="860" t="s">
        <v>630</v>
      </c>
      <c r="F32" s="860" t="s">
        <v>630</v>
      </c>
      <c r="H32" s="125"/>
      <c r="I32" s="874">
        <v>13</v>
      </c>
      <c r="J32" s="330" t="s">
        <v>681</v>
      </c>
      <c r="K32" s="145" t="s">
        <v>602</v>
      </c>
      <c r="L32" s="873"/>
      <c r="M32" s="784"/>
      <c r="N32" s="766"/>
      <c r="O32" s="499" t="s">
        <v>641</v>
      </c>
      <c r="P32" s="766"/>
      <c r="AK32" s="50">
        <v>46</v>
      </c>
    </row>
    <row r="33" s="53" customFormat="1" ht="48.25" customHeight="1">
      <c r="A33" s="865"/>
      <c r="B33" s="858" t="s">
        <v>682</v>
      </c>
      <c r="C33" s="858" t="s">
        <v>683</v>
      </c>
      <c r="D33" s="859" t="s">
        <v>619</v>
      </c>
      <c r="E33" s="860" t="s">
        <v>630</v>
      </c>
      <c r="F33" s="860" t="s">
        <v>630</v>
      </c>
      <c r="G33" s="57"/>
      <c r="H33" s="125"/>
      <c r="I33" s="874">
        <v>14</v>
      </c>
      <c r="J33" s="343" t="s">
        <v>684</v>
      </c>
      <c r="K33" s="321" t="s">
        <v>685</v>
      </c>
      <c r="L33" s="873"/>
      <c r="M33" s="784"/>
      <c r="N33" s="766"/>
      <c r="O33" s="499" t="s">
        <v>641</v>
      </c>
      <c r="P33" s="766"/>
      <c r="Q33" s="57"/>
      <c r="R33" s="57"/>
      <c r="W33" s="57"/>
      <c r="Z33" s="763"/>
      <c r="AF33" s="56"/>
      <c r="AG33" s="56"/>
      <c r="AH33" s="56"/>
      <c r="AI33" s="56"/>
      <c r="AJ33" s="56"/>
      <c r="AK33" s="53">
        <v>46</v>
      </c>
    </row>
    <row r="34" ht="108" customHeight="1">
      <c r="A34" s="865"/>
      <c r="B34" s="858" t="s">
        <v>686</v>
      </c>
      <c r="C34" s="858" t="s">
        <v>687</v>
      </c>
      <c r="D34" s="859" t="s">
        <v>629</v>
      </c>
      <c r="E34" s="860" t="s">
        <v>630</v>
      </c>
      <c r="F34" s="860" t="s">
        <v>630</v>
      </c>
      <c r="G34" s="57" t="s">
        <v>590</v>
      </c>
      <c r="H34" s="125"/>
      <c r="I34" s="218">
        <v>15</v>
      </c>
      <c r="J34" s="330" t="s">
        <v>688</v>
      </c>
      <c r="K34" s="145" t="s">
        <v>308</v>
      </c>
      <c r="L34" s="876"/>
      <c r="M34" s="484"/>
      <c r="N34" s="766"/>
      <c r="O34" s="499" t="s">
        <v>633</v>
      </c>
      <c r="P34" s="766"/>
      <c r="AK34" s="50">
        <v>103</v>
      </c>
    </row>
    <row r="35" s="131" customFormat="1" ht="11.5" customHeight="1">
      <c r="A35" s="762"/>
      <c r="B35" s="762"/>
      <c r="C35" s="762"/>
      <c r="D35" s="762"/>
      <c r="E35" s="762"/>
      <c r="F35" s="57"/>
      <c r="G35" s="57"/>
      <c r="H35" s="131"/>
      <c r="N35" s="53"/>
      <c r="P35" s="53"/>
      <c r="Q35" s="57"/>
      <c r="R35" s="57"/>
      <c r="S35" s="53"/>
      <c r="T35" s="53"/>
      <c r="U35" s="53"/>
      <c r="V35" s="53"/>
      <c r="W35" s="57"/>
      <c r="X35" s="53"/>
      <c r="Y35" s="53"/>
      <c r="Z35" s="763"/>
      <c r="AA35" s="53"/>
      <c r="AB35" s="53"/>
      <c r="AC35" s="53"/>
      <c r="AD35" s="53"/>
      <c r="AE35" s="53"/>
      <c r="AF35" s="56"/>
      <c r="AG35" s="54"/>
      <c r="AH35" s="54"/>
      <c r="AI35" s="54"/>
      <c r="AJ35" s="54"/>
      <c r="AK35" s="131">
        <v>11</v>
      </c>
    </row>
    <row r="36" s="131" customFormat="1" ht="11.5" customHeight="1">
      <c r="A36" s="762"/>
      <c r="B36" s="762"/>
      <c r="C36" s="762"/>
      <c r="D36" s="762"/>
      <c r="E36" s="762"/>
      <c r="F36" s="57"/>
      <c r="G36" s="57"/>
      <c r="H36" s="131"/>
      <c r="N36" s="53"/>
      <c r="P36" s="53"/>
      <c r="Q36" s="57"/>
      <c r="R36" s="57"/>
      <c r="S36" s="53"/>
      <c r="T36" s="53"/>
      <c r="U36" s="53"/>
      <c r="V36" s="53"/>
      <c r="W36" s="57"/>
      <c r="X36" s="53"/>
      <c r="Y36" s="53"/>
      <c r="Z36" s="763"/>
      <c r="AA36" s="53"/>
      <c r="AB36" s="53"/>
      <c r="AC36" s="53"/>
      <c r="AD36" s="53"/>
      <c r="AE36" s="53"/>
      <c r="AF36" s="56"/>
      <c r="AG36" s="54"/>
      <c r="AH36" s="54"/>
      <c r="AI36" s="54"/>
      <c r="AJ36" s="54"/>
      <c r="AK36" s="131">
        <v>11</v>
      </c>
    </row>
    <row r="37" s="131" customFormat="1" ht="11.5" customHeight="1">
      <c r="A37" s="762"/>
      <c r="B37" s="762"/>
      <c r="C37" s="762"/>
      <c r="D37" s="762"/>
      <c r="E37" s="762"/>
      <c r="F37" s="57"/>
      <c r="G37" s="57"/>
      <c r="H37" s="131"/>
      <c r="L37" s="54"/>
      <c r="M37" s="54"/>
      <c r="N37" s="53"/>
      <c r="P37" s="53"/>
      <c r="Q37" s="57"/>
      <c r="R37" s="57"/>
      <c r="S37" s="53"/>
      <c r="T37" s="53"/>
      <c r="U37" s="53"/>
      <c r="V37" s="53"/>
      <c r="W37" s="57"/>
      <c r="X37" s="53"/>
      <c r="Y37" s="53"/>
      <c r="Z37" s="763"/>
      <c r="AA37" s="53"/>
      <c r="AB37" s="53"/>
      <c r="AC37" s="53"/>
      <c r="AD37" s="53"/>
      <c r="AE37" s="53"/>
      <c r="AF37" s="56"/>
      <c r="AG37" s="54"/>
      <c r="AH37" s="54"/>
      <c r="AI37" s="54"/>
      <c r="AJ37" s="54"/>
      <c r="AK37" s="131">
        <v>11</v>
      </c>
    </row>
    <row r="38" s="131" customFormat="1" ht="11.5" customHeight="1">
      <c r="A38" s="762"/>
      <c r="B38" s="762"/>
      <c r="C38" s="762"/>
      <c r="D38" s="762"/>
      <c r="E38" s="762"/>
      <c r="F38" s="57"/>
      <c r="G38" s="57"/>
      <c r="H38" s="131"/>
      <c r="N38" s="53"/>
      <c r="P38" s="53"/>
      <c r="Q38" s="57"/>
      <c r="R38" s="57"/>
      <c r="S38" s="53"/>
      <c r="T38" s="53"/>
      <c r="U38" s="53"/>
      <c r="V38" s="53"/>
      <c r="W38" s="57"/>
      <c r="X38" s="53"/>
      <c r="Y38" s="53"/>
      <c r="Z38" s="763"/>
      <c r="AA38" s="53"/>
      <c r="AB38" s="53"/>
      <c r="AC38" s="53"/>
      <c r="AD38" s="53"/>
      <c r="AE38" s="53"/>
      <c r="AF38" s="56"/>
      <c r="AG38" s="54"/>
      <c r="AH38" s="54"/>
      <c r="AI38" s="54"/>
      <c r="AJ38" s="54"/>
      <c r="AK38" s="131">
        <v>11</v>
      </c>
    </row>
    <row r="39" s="131" customFormat="1" ht="11.5" customHeight="1">
      <c r="A39" s="762"/>
      <c r="B39" s="762"/>
      <c r="C39" s="762"/>
      <c r="D39" s="762"/>
      <c r="E39" s="762"/>
      <c r="F39" s="57"/>
      <c r="G39" s="57"/>
      <c r="H39" s="131"/>
      <c r="N39" s="53"/>
      <c r="P39" s="53"/>
      <c r="Q39" s="57"/>
      <c r="R39" s="57"/>
      <c r="S39" s="53"/>
      <c r="T39" s="53"/>
      <c r="U39" s="53"/>
      <c r="V39" s="53"/>
      <c r="W39" s="57"/>
      <c r="X39" s="53"/>
      <c r="Y39" s="53"/>
      <c r="Z39" s="763"/>
      <c r="AA39" s="53"/>
      <c r="AB39" s="53"/>
      <c r="AC39" s="53"/>
      <c r="AD39" s="53"/>
      <c r="AE39" s="53"/>
      <c r="AF39" s="56"/>
      <c r="AG39" s="54"/>
      <c r="AH39" s="54"/>
      <c r="AI39" s="54"/>
      <c r="AJ39" s="54"/>
      <c r="AK39" s="131">
        <v>11</v>
      </c>
    </row>
    <row r="40" s="131" customFormat="1" ht="11.5" customHeight="1">
      <c r="A40" s="762"/>
      <c r="B40" s="762"/>
      <c r="C40" s="762"/>
      <c r="D40" s="762"/>
      <c r="E40" s="762"/>
      <c r="F40" s="57"/>
      <c r="G40" s="57"/>
      <c r="H40" s="131"/>
      <c r="N40" s="53"/>
      <c r="P40" s="53"/>
      <c r="Q40" s="57"/>
      <c r="R40" s="57"/>
      <c r="S40" s="53"/>
      <c r="T40" s="53"/>
      <c r="U40" s="53"/>
      <c r="V40" s="53"/>
      <c r="W40" s="57"/>
      <c r="X40" s="53"/>
      <c r="Y40" s="53"/>
      <c r="Z40" s="763"/>
      <c r="AA40" s="53"/>
      <c r="AB40" s="53"/>
      <c r="AC40" s="53"/>
      <c r="AD40" s="53"/>
      <c r="AE40" s="53"/>
      <c r="AF40" s="56"/>
      <c r="AG40" s="54"/>
      <c r="AH40" s="54"/>
      <c r="AI40" s="54"/>
      <c r="AJ40" s="54"/>
      <c r="AK40" s="131">
        <v>11</v>
      </c>
    </row>
    <row r="41" s="131" customFormat="1" ht="11.5" customHeight="1">
      <c r="A41" s="762"/>
      <c r="B41" s="762"/>
      <c r="C41" s="762"/>
      <c r="D41" s="762"/>
      <c r="E41" s="762"/>
      <c r="F41" s="57"/>
      <c r="G41" s="57"/>
      <c r="H41" s="131"/>
      <c r="N41" s="53"/>
      <c r="P41" s="53"/>
      <c r="Q41" s="57"/>
      <c r="R41" s="57"/>
      <c r="S41" s="53"/>
      <c r="T41" s="53"/>
      <c r="U41" s="53"/>
      <c r="V41" s="53"/>
      <c r="W41" s="57"/>
      <c r="X41" s="53"/>
      <c r="Y41" s="53"/>
      <c r="Z41" s="763"/>
      <c r="AA41" s="53"/>
      <c r="AB41" s="53"/>
      <c r="AC41" s="53"/>
      <c r="AD41" s="53"/>
      <c r="AE41" s="53"/>
      <c r="AF41" s="56"/>
      <c r="AG41" s="54"/>
      <c r="AH41" s="54"/>
      <c r="AI41" s="54"/>
      <c r="AJ41" s="54"/>
      <c r="AK41" s="131">
        <v>11</v>
      </c>
    </row>
    <row r="42" s="131" customFormat="1" ht="11.5" customHeight="1">
      <c r="A42" s="762"/>
      <c r="B42" s="762"/>
      <c r="C42" s="762"/>
      <c r="D42" s="762"/>
      <c r="E42" s="762"/>
      <c r="F42" s="57"/>
      <c r="G42" s="57"/>
      <c r="H42" s="131"/>
      <c r="N42" s="53"/>
      <c r="P42" s="53"/>
      <c r="Q42" s="57"/>
      <c r="R42" s="57"/>
      <c r="S42" s="53"/>
      <c r="T42" s="53"/>
      <c r="U42" s="53"/>
      <c r="V42" s="53"/>
      <c r="W42" s="57"/>
      <c r="X42" s="53"/>
      <c r="Y42" s="53"/>
      <c r="Z42" s="763"/>
      <c r="AA42" s="53"/>
      <c r="AB42" s="53"/>
      <c r="AC42" s="53"/>
      <c r="AD42" s="53"/>
      <c r="AE42" s="53"/>
      <c r="AF42" s="56"/>
      <c r="AG42" s="54"/>
      <c r="AH42" s="54"/>
      <c r="AI42" s="54"/>
      <c r="AJ42" s="54"/>
      <c r="AK42" s="131">
        <v>11</v>
      </c>
    </row>
    <row r="43" s="131" customFormat="1" ht="11.5" customHeight="1">
      <c r="A43" s="762"/>
      <c r="B43" s="762"/>
      <c r="C43" s="762"/>
      <c r="D43" s="762"/>
      <c r="E43" s="762"/>
      <c r="F43" s="57"/>
      <c r="G43" s="57"/>
      <c r="H43" s="131"/>
      <c r="N43" s="53"/>
      <c r="P43" s="53"/>
      <c r="Q43" s="57"/>
      <c r="R43" s="57"/>
      <c r="S43" s="53"/>
      <c r="T43" s="53"/>
      <c r="U43" s="53"/>
      <c r="V43" s="53"/>
      <c r="W43" s="57"/>
      <c r="X43" s="53"/>
      <c r="Y43" s="53"/>
      <c r="Z43" s="763"/>
      <c r="AA43" s="53"/>
      <c r="AB43" s="53"/>
      <c r="AC43" s="53"/>
      <c r="AD43" s="53"/>
      <c r="AE43" s="53"/>
      <c r="AF43" s="56"/>
      <c r="AG43" s="54"/>
      <c r="AH43" s="54"/>
      <c r="AI43" s="54"/>
      <c r="AJ43" s="54"/>
      <c r="AK43" s="131">
        <v>11</v>
      </c>
    </row>
    <row r="44" s="131" customFormat="1" ht="11.5" customHeight="1">
      <c r="A44" s="762"/>
      <c r="B44" s="762"/>
      <c r="C44" s="762"/>
      <c r="D44" s="762"/>
      <c r="E44" s="762"/>
      <c r="F44" s="57"/>
      <c r="G44" s="57"/>
      <c r="H44" s="131"/>
      <c r="N44" s="53"/>
      <c r="P44" s="53"/>
      <c r="Q44" s="57"/>
      <c r="R44" s="57"/>
      <c r="S44" s="53"/>
      <c r="T44" s="53"/>
      <c r="U44" s="53"/>
      <c r="V44" s="53"/>
      <c r="W44" s="57"/>
      <c r="X44" s="53"/>
      <c r="Y44" s="53"/>
      <c r="Z44" s="763"/>
      <c r="AA44" s="53"/>
      <c r="AB44" s="53"/>
      <c r="AC44" s="53"/>
      <c r="AD44" s="53"/>
      <c r="AE44" s="53"/>
      <c r="AF44" s="56"/>
      <c r="AG44" s="54"/>
      <c r="AH44" s="54"/>
      <c r="AI44" s="54"/>
      <c r="AJ44" s="54"/>
      <c r="AK44" s="131">
        <v>11</v>
      </c>
    </row>
    <row r="45" s="131" customFormat="1" ht="11.5" customHeight="1">
      <c r="A45" s="762"/>
      <c r="B45" s="762"/>
      <c r="C45" s="762"/>
      <c r="D45" s="762"/>
      <c r="E45" s="762"/>
      <c r="F45" s="57"/>
      <c r="G45" s="57"/>
      <c r="H45" s="131"/>
      <c r="N45" s="53"/>
      <c r="P45" s="53"/>
      <c r="Q45" s="57"/>
      <c r="R45" s="57"/>
      <c r="S45" s="53"/>
      <c r="T45" s="53"/>
      <c r="U45" s="53"/>
      <c r="V45" s="53"/>
      <c r="W45" s="57"/>
      <c r="X45" s="53"/>
      <c r="Y45" s="53"/>
      <c r="Z45" s="763"/>
      <c r="AA45" s="53"/>
      <c r="AB45" s="53"/>
      <c r="AC45" s="53"/>
      <c r="AD45" s="53"/>
      <c r="AE45" s="53"/>
      <c r="AF45" s="56"/>
      <c r="AG45" s="54"/>
      <c r="AH45" s="54"/>
      <c r="AI45" s="54"/>
      <c r="AJ45" s="54"/>
      <c r="AK45" s="131">
        <v>11</v>
      </c>
    </row>
    <row r="46" s="131" customFormat="1" ht="11.5" customHeight="1">
      <c r="A46" s="762"/>
      <c r="B46" s="762"/>
      <c r="C46" s="762"/>
      <c r="D46" s="762"/>
      <c r="E46" s="762"/>
      <c r="F46" s="57"/>
      <c r="G46" s="57"/>
      <c r="H46" s="131"/>
      <c r="N46" s="53"/>
      <c r="P46" s="53"/>
      <c r="Q46" s="57"/>
      <c r="R46" s="57"/>
      <c r="S46" s="53"/>
      <c r="T46" s="53"/>
      <c r="U46" s="53"/>
      <c r="V46" s="53"/>
      <c r="W46" s="57"/>
      <c r="X46" s="53"/>
      <c r="Y46" s="53"/>
      <c r="Z46" s="763"/>
      <c r="AA46" s="53"/>
      <c r="AB46" s="53"/>
      <c r="AC46" s="53"/>
      <c r="AD46" s="53"/>
      <c r="AE46" s="53"/>
      <c r="AF46" s="56"/>
      <c r="AG46" s="54"/>
      <c r="AH46" s="54"/>
      <c r="AI46" s="54"/>
      <c r="AJ46" s="54"/>
      <c r="AK46" s="131">
        <v>11</v>
      </c>
    </row>
    <row r="47" s="131" customFormat="1" ht="11.5" customHeight="1">
      <c r="A47" s="762"/>
      <c r="B47" s="762"/>
      <c r="C47" s="762"/>
      <c r="D47" s="762"/>
      <c r="E47" s="762"/>
      <c r="F47" s="57"/>
      <c r="G47" s="57"/>
      <c r="H47" s="131"/>
      <c r="N47" s="53"/>
      <c r="P47" s="53"/>
      <c r="Q47" s="57"/>
      <c r="R47" s="57"/>
      <c r="S47" s="53"/>
      <c r="T47" s="53"/>
      <c r="U47" s="53"/>
      <c r="V47" s="53"/>
      <c r="W47" s="57"/>
      <c r="X47" s="53"/>
      <c r="Y47" s="53"/>
      <c r="Z47" s="763"/>
      <c r="AA47" s="53"/>
      <c r="AB47" s="53"/>
      <c r="AC47" s="53"/>
      <c r="AD47" s="53"/>
      <c r="AE47" s="53"/>
      <c r="AF47" s="56"/>
      <c r="AG47" s="54"/>
      <c r="AH47" s="54"/>
      <c r="AI47" s="54"/>
      <c r="AJ47" s="54"/>
      <c r="AK47" s="131">
        <v>11</v>
      </c>
    </row>
    <row r="48" s="131" customFormat="1" ht="11.5" customHeight="1">
      <c r="A48" s="762"/>
      <c r="B48" s="762"/>
      <c r="C48" s="762"/>
      <c r="D48" s="762"/>
      <c r="E48" s="762"/>
      <c r="F48" s="57"/>
      <c r="G48" s="57"/>
      <c r="H48" s="131"/>
      <c r="N48" s="53"/>
      <c r="P48" s="53"/>
      <c r="Q48" s="57"/>
      <c r="R48" s="57"/>
      <c r="S48" s="53"/>
      <c r="T48" s="53"/>
      <c r="U48" s="53"/>
      <c r="V48" s="53"/>
      <c r="W48" s="57"/>
      <c r="X48" s="53"/>
      <c r="Y48" s="53"/>
      <c r="Z48" s="763"/>
      <c r="AA48" s="53"/>
      <c r="AB48" s="53"/>
      <c r="AC48" s="53"/>
      <c r="AD48" s="53"/>
      <c r="AE48" s="53"/>
      <c r="AF48" s="56"/>
      <c r="AG48" s="54"/>
      <c r="AH48" s="54"/>
      <c r="AI48" s="54"/>
      <c r="AJ48" s="54"/>
      <c r="AK48" s="131">
        <v>11</v>
      </c>
    </row>
    <row r="49" s="131" customFormat="1" ht="11.5" customHeight="1">
      <c r="A49" s="762"/>
      <c r="B49" s="762"/>
      <c r="C49" s="762"/>
      <c r="D49" s="762"/>
      <c r="E49" s="762"/>
      <c r="F49" s="57"/>
      <c r="G49" s="57"/>
      <c r="H49" s="131"/>
      <c r="N49" s="53"/>
      <c r="P49" s="53"/>
      <c r="Q49" s="57"/>
      <c r="R49" s="57"/>
      <c r="S49" s="53"/>
      <c r="T49" s="53"/>
      <c r="U49" s="53"/>
      <c r="V49" s="53"/>
      <c r="W49" s="57"/>
      <c r="X49" s="53"/>
      <c r="Y49" s="53"/>
      <c r="Z49" s="763"/>
      <c r="AA49" s="53"/>
      <c r="AB49" s="53"/>
      <c r="AC49" s="53"/>
      <c r="AD49" s="53"/>
      <c r="AE49" s="53"/>
      <c r="AF49" s="56"/>
      <c r="AG49" s="54"/>
      <c r="AH49" s="54"/>
      <c r="AI49" s="54"/>
      <c r="AJ49" s="54"/>
      <c r="AK49" s="131">
        <v>11</v>
      </c>
    </row>
    <row r="50" s="131" customFormat="1" ht="11.5" customHeight="1">
      <c r="A50" s="762"/>
      <c r="B50" s="762"/>
      <c r="C50" s="762"/>
      <c r="D50" s="762"/>
      <c r="E50" s="762"/>
      <c r="F50" s="57"/>
      <c r="G50" s="57"/>
      <c r="H50" s="131"/>
      <c r="N50" s="53"/>
      <c r="P50" s="53"/>
      <c r="Q50" s="57"/>
      <c r="R50" s="57"/>
      <c r="S50" s="53"/>
      <c r="T50" s="53"/>
      <c r="U50" s="53"/>
      <c r="V50" s="53"/>
      <c r="W50" s="57"/>
      <c r="X50" s="53"/>
      <c r="Y50" s="53"/>
      <c r="Z50" s="763"/>
      <c r="AA50" s="53"/>
      <c r="AB50" s="53"/>
      <c r="AC50" s="53"/>
      <c r="AD50" s="53"/>
      <c r="AE50" s="53"/>
      <c r="AF50" s="56"/>
      <c r="AG50" s="54"/>
      <c r="AH50" s="54"/>
      <c r="AI50" s="54"/>
      <c r="AJ50" s="54"/>
      <c r="AK50" s="131">
        <v>11</v>
      </c>
    </row>
    <row r="51" s="131" customFormat="1" ht="11.5" customHeight="1">
      <c r="A51" s="762"/>
      <c r="B51" s="762"/>
      <c r="C51" s="762"/>
      <c r="D51" s="762"/>
      <c r="E51" s="762"/>
      <c r="F51" s="57"/>
      <c r="G51" s="57"/>
      <c r="H51" s="131"/>
      <c r="N51" s="53"/>
      <c r="P51" s="53"/>
      <c r="Q51" s="57"/>
      <c r="R51" s="57"/>
      <c r="S51" s="53"/>
      <c r="T51" s="53"/>
      <c r="U51" s="53"/>
      <c r="V51" s="53"/>
      <c r="W51" s="57"/>
      <c r="X51" s="53"/>
      <c r="Y51" s="53"/>
      <c r="Z51" s="763"/>
      <c r="AA51" s="53"/>
      <c r="AB51" s="53"/>
      <c r="AC51" s="53"/>
      <c r="AD51" s="53"/>
      <c r="AE51" s="53"/>
      <c r="AF51" s="56"/>
      <c r="AG51" s="54"/>
      <c r="AH51" s="54"/>
      <c r="AI51" s="54"/>
      <c r="AJ51" s="54"/>
      <c r="AK51" s="131">
        <v>11</v>
      </c>
    </row>
    <row r="52" s="131" customFormat="1" ht="11.5" customHeight="1">
      <c r="A52" s="762"/>
      <c r="B52" s="762"/>
      <c r="C52" s="762"/>
      <c r="D52" s="762"/>
      <c r="E52" s="762"/>
      <c r="F52" s="57"/>
      <c r="G52" s="57"/>
      <c r="H52" s="131"/>
      <c r="N52" s="53"/>
      <c r="P52" s="53"/>
      <c r="Q52" s="57"/>
      <c r="R52" s="57"/>
      <c r="S52" s="53"/>
      <c r="T52" s="53"/>
      <c r="U52" s="53"/>
      <c r="V52" s="53"/>
      <c r="W52" s="57"/>
      <c r="X52" s="53"/>
      <c r="Y52" s="53"/>
      <c r="Z52" s="763"/>
      <c r="AA52" s="53"/>
      <c r="AB52" s="53"/>
      <c r="AC52" s="53"/>
      <c r="AD52" s="53"/>
      <c r="AE52" s="53"/>
      <c r="AF52" s="56"/>
      <c r="AG52" s="54"/>
      <c r="AH52" s="54"/>
      <c r="AI52" s="54"/>
      <c r="AJ52" s="54"/>
      <c r="AK52" s="131">
        <v>11</v>
      </c>
    </row>
    <row r="53" s="131" customFormat="1" ht="11.5" customHeight="1">
      <c r="A53" s="762"/>
      <c r="B53" s="762"/>
      <c r="C53" s="762"/>
      <c r="D53" s="762"/>
      <c r="E53" s="762"/>
      <c r="F53" s="57"/>
      <c r="G53" s="57"/>
      <c r="H53" s="131"/>
      <c r="N53" s="53"/>
      <c r="P53" s="53"/>
      <c r="Q53" s="57"/>
      <c r="R53" s="57"/>
      <c r="S53" s="53"/>
      <c r="T53" s="53"/>
      <c r="U53" s="53"/>
      <c r="V53" s="53"/>
      <c r="W53" s="57"/>
      <c r="X53" s="53"/>
      <c r="Y53" s="53"/>
      <c r="Z53" s="763"/>
      <c r="AA53" s="53"/>
      <c r="AB53" s="53"/>
      <c r="AC53" s="53"/>
      <c r="AD53" s="53"/>
      <c r="AE53" s="53"/>
      <c r="AF53" s="56"/>
      <c r="AG53" s="54"/>
      <c r="AH53" s="54"/>
      <c r="AI53" s="54"/>
      <c r="AJ53" s="54"/>
      <c r="AK53" s="131">
        <v>11</v>
      </c>
    </row>
    <row r="54" s="131" customFormat="1" ht="11.5" customHeight="1">
      <c r="A54" s="762"/>
      <c r="B54" s="762"/>
      <c r="C54" s="762"/>
      <c r="D54" s="762"/>
      <c r="E54" s="762"/>
      <c r="F54" s="57"/>
      <c r="G54" s="57"/>
      <c r="H54" s="131"/>
      <c r="N54" s="53"/>
      <c r="P54" s="53"/>
      <c r="Q54" s="57"/>
      <c r="R54" s="57"/>
      <c r="S54" s="53"/>
      <c r="T54" s="53"/>
      <c r="U54" s="53"/>
      <c r="V54" s="53"/>
      <c r="W54" s="57"/>
      <c r="X54" s="53"/>
      <c r="Y54" s="53"/>
      <c r="Z54" s="763"/>
      <c r="AA54" s="53"/>
      <c r="AB54" s="53"/>
      <c r="AC54" s="53"/>
      <c r="AD54" s="53"/>
      <c r="AE54" s="53"/>
      <c r="AF54" s="56"/>
      <c r="AG54" s="54"/>
      <c r="AH54" s="54"/>
      <c r="AI54" s="54"/>
      <c r="AJ54" s="54"/>
      <c r="AK54" s="131">
        <v>11</v>
      </c>
    </row>
    <row r="55" s="131" customFormat="1" ht="11.5" customHeight="1">
      <c r="A55" s="762"/>
      <c r="B55" s="762"/>
      <c r="C55" s="762"/>
      <c r="D55" s="762"/>
      <c r="E55" s="762"/>
      <c r="F55" s="57"/>
      <c r="G55" s="57"/>
      <c r="H55" s="131"/>
      <c r="N55" s="53"/>
      <c r="P55" s="53"/>
      <c r="Q55" s="57"/>
      <c r="R55" s="57"/>
      <c r="S55" s="53"/>
      <c r="T55" s="53"/>
      <c r="U55" s="53"/>
      <c r="V55" s="53"/>
      <c r="W55" s="57"/>
      <c r="X55" s="53"/>
      <c r="Y55" s="53"/>
      <c r="Z55" s="763"/>
      <c r="AA55" s="53"/>
      <c r="AB55" s="53"/>
      <c r="AC55" s="53"/>
      <c r="AD55" s="53"/>
      <c r="AE55" s="53"/>
      <c r="AF55" s="56"/>
      <c r="AG55" s="54"/>
      <c r="AH55" s="54"/>
      <c r="AI55" s="54"/>
      <c r="AJ55" s="54"/>
      <c r="AK55" s="131">
        <v>11</v>
      </c>
    </row>
    <row r="56" s="131" customFormat="1" ht="11.5" customHeight="1">
      <c r="A56" s="762"/>
      <c r="B56" s="762"/>
      <c r="C56" s="762"/>
      <c r="D56" s="762"/>
      <c r="E56" s="762"/>
      <c r="F56" s="57"/>
      <c r="G56" s="57"/>
      <c r="H56" s="131"/>
      <c r="N56" s="53"/>
      <c r="P56" s="53"/>
      <c r="Q56" s="57"/>
      <c r="R56" s="57"/>
      <c r="S56" s="53"/>
      <c r="T56" s="53"/>
      <c r="U56" s="53"/>
      <c r="V56" s="53"/>
      <c r="W56" s="57"/>
      <c r="X56" s="53"/>
      <c r="Y56" s="53"/>
      <c r="Z56" s="763"/>
      <c r="AA56" s="53"/>
      <c r="AB56" s="53"/>
      <c r="AC56" s="53"/>
      <c r="AD56" s="53"/>
      <c r="AE56" s="53"/>
      <c r="AF56" s="56"/>
      <c r="AG56" s="54"/>
      <c r="AH56" s="54"/>
      <c r="AI56" s="54"/>
      <c r="AJ56" s="54"/>
      <c r="AK56" s="131">
        <v>11</v>
      </c>
    </row>
    <row r="57" s="131" customFormat="1" ht="11.5" customHeight="1">
      <c r="A57" s="762"/>
      <c r="B57" s="762"/>
      <c r="C57" s="762"/>
      <c r="D57" s="762"/>
      <c r="E57" s="762"/>
      <c r="F57" s="57"/>
      <c r="G57" s="57"/>
      <c r="H57" s="131"/>
      <c r="N57" s="53"/>
      <c r="P57" s="53"/>
      <c r="Q57" s="57"/>
      <c r="R57" s="57"/>
      <c r="S57" s="53"/>
      <c r="T57" s="53"/>
      <c r="U57" s="53"/>
      <c r="V57" s="53"/>
      <c r="W57" s="57"/>
      <c r="X57" s="53"/>
      <c r="Y57" s="53"/>
      <c r="Z57" s="763"/>
      <c r="AA57" s="53"/>
      <c r="AB57" s="53"/>
      <c r="AC57" s="53"/>
      <c r="AD57" s="53"/>
      <c r="AE57" s="53"/>
      <c r="AF57" s="56"/>
      <c r="AG57" s="54"/>
      <c r="AH57" s="54"/>
      <c r="AI57" s="54"/>
      <c r="AJ57" s="54"/>
      <c r="AK57" s="131">
        <v>11</v>
      </c>
    </row>
    <row r="58" s="131" customFormat="1" ht="11.5" customHeight="1">
      <c r="A58" s="762"/>
      <c r="B58" s="762"/>
      <c r="C58" s="762"/>
      <c r="D58" s="762"/>
      <c r="E58" s="762"/>
      <c r="F58" s="57"/>
      <c r="G58" s="57"/>
      <c r="H58" s="131"/>
      <c r="N58" s="53"/>
      <c r="P58" s="53"/>
      <c r="Q58" s="57"/>
      <c r="R58" s="57"/>
      <c r="S58" s="53"/>
      <c r="T58" s="53"/>
      <c r="U58" s="53"/>
      <c r="V58" s="53"/>
      <c r="W58" s="57"/>
      <c r="X58" s="53"/>
      <c r="Y58" s="53"/>
      <c r="Z58" s="763"/>
      <c r="AA58" s="53"/>
      <c r="AB58" s="53"/>
      <c r="AC58" s="53"/>
      <c r="AD58" s="53"/>
      <c r="AE58" s="53"/>
      <c r="AF58" s="56"/>
      <c r="AG58" s="54"/>
      <c r="AH58" s="54"/>
      <c r="AI58" s="54"/>
      <c r="AJ58" s="54"/>
      <c r="AK58" s="131">
        <v>11</v>
      </c>
    </row>
    <row r="59" s="131" customFormat="1" ht="11.5" customHeight="1">
      <c r="A59" s="762"/>
      <c r="B59" s="762"/>
      <c r="C59" s="762"/>
      <c r="D59" s="762"/>
      <c r="E59" s="762"/>
      <c r="F59" s="57"/>
      <c r="G59" s="57"/>
      <c r="H59" s="131"/>
      <c r="N59" s="53"/>
      <c r="P59" s="53"/>
      <c r="Q59" s="57"/>
      <c r="R59" s="57"/>
      <c r="S59" s="53"/>
      <c r="T59" s="53"/>
      <c r="U59" s="53"/>
      <c r="V59" s="53"/>
      <c r="W59" s="57"/>
      <c r="X59" s="53"/>
      <c r="Y59" s="53"/>
      <c r="Z59" s="763"/>
      <c r="AA59" s="53"/>
      <c r="AB59" s="53"/>
      <c r="AC59" s="53"/>
      <c r="AD59" s="53"/>
      <c r="AE59" s="53"/>
      <c r="AF59" s="56"/>
      <c r="AG59" s="54"/>
      <c r="AH59" s="54"/>
      <c r="AI59" s="54"/>
      <c r="AJ59" s="54"/>
      <c r="AK59" s="131">
        <v>11</v>
      </c>
    </row>
    <row r="60" s="131" customFormat="1" ht="11.5" customHeight="1">
      <c r="A60" s="762"/>
      <c r="B60" s="762"/>
      <c r="C60" s="762"/>
      <c r="D60" s="762"/>
      <c r="E60" s="762"/>
      <c r="F60" s="57"/>
      <c r="G60" s="57"/>
      <c r="H60" s="131"/>
      <c r="N60" s="53"/>
      <c r="P60" s="53"/>
      <c r="Q60" s="57"/>
      <c r="R60" s="57"/>
      <c r="S60" s="53"/>
      <c r="T60" s="53"/>
      <c r="U60" s="53"/>
      <c r="V60" s="53"/>
      <c r="W60" s="57"/>
      <c r="X60" s="53"/>
      <c r="Y60" s="53"/>
      <c r="Z60" s="763"/>
      <c r="AA60" s="53"/>
      <c r="AB60" s="53"/>
      <c r="AC60" s="53"/>
      <c r="AD60" s="53"/>
      <c r="AE60" s="53"/>
      <c r="AF60" s="56"/>
      <c r="AG60" s="54"/>
      <c r="AH60" s="54"/>
      <c r="AI60" s="54"/>
      <c r="AJ60" s="54"/>
      <c r="AK60" s="131">
        <v>11</v>
      </c>
    </row>
    <row r="61" s="131" customFormat="1" ht="11.5" customHeight="1">
      <c r="A61" s="762"/>
      <c r="B61" s="762"/>
      <c r="C61" s="762"/>
      <c r="D61" s="762"/>
      <c r="E61" s="762"/>
      <c r="F61" s="57"/>
      <c r="G61" s="57"/>
      <c r="H61" s="131"/>
      <c r="N61" s="53"/>
      <c r="P61" s="53"/>
      <c r="Q61" s="57"/>
      <c r="R61" s="57"/>
      <c r="S61" s="53"/>
      <c r="T61" s="53"/>
      <c r="U61" s="53"/>
      <c r="V61" s="53"/>
      <c r="W61" s="57"/>
      <c r="X61" s="53"/>
      <c r="Y61" s="53"/>
      <c r="Z61" s="763"/>
      <c r="AA61" s="53"/>
      <c r="AB61" s="53"/>
      <c r="AC61" s="53"/>
      <c r="AD61" s="53"/>
      <c r="AE61" s="53"/>
      <c r="AF61" s="56"/>
      <c r="AG61" s="54"/>
      <c r="AH61" s="54"/>
      <c r="AI61" s="54"/>
      <c r="AJ61" s="54"/>
      <c r="AK61" s="131">
        <v>11</v>
      </c>
    </row>
    <row r="62" s="131" customFormat="1" ht="11.5" customHeight="1">
      <c r="A62" s="762"/>
      <c r="B62" s="762"/>
      <c r="C62" s="762"/>
      <c r="D62" s="762"/>
      <c r="E62" s="762"/>
      <c r="F62" s="57"/>
      <c r="G62" s="57"/>
      <c r="H62" s="131"/>
      <c r="N62" s="53"/>
      <c r="P62" s="53"/>
      <c r="Q62" s="57"/>
      <c r="R62" s="57"/>
      <c r="S62" s="53"/>
      <c r="T62" s="53"/>
      <c r="U62" s="53"/>
      <c r="V62" s="53"/>
      <c r="W62" s="57"/>
      <c r="X62" s="53"/>
      <c r="Y62" s="53"/>
      <c r="Z62" s="763"/>
      <c r="AA62" s="53"/>
      <c r="AB62" s="53"/>
      <c r="AC62" s="53"/>
      <c r="AD62" s="53"/>
      <c r="AE62" s="53"/>
      <c r="AF62" s="56"/>
      <c r="AG62" s="54"/>
      <c r="AH62" s="54"/>
      <c r="AI62" s="54"/>
      <c r="AJ62" s="54"/>
      <c r="AK62" s="131">
        <v>11</v>
      </c>
    </row>
    <row r="63" s="131" customFormat="1" ht="11.5" customHeight="1">
      <c r="A63" s="762"/>
      <c r="B63" s="762"/>
      <c r="C63" s="762"/>
      <c r="D63" s="762"/>
      <c r="E63" s="762"/>
      <c r="F63" s="57"/>
      <c r="G63" s="57"/>
      <c r="H63" s="131"/>
      <c r="N63" s="53"/>
      <c r="P63" s="53"/>
      <c r="Q63" s="57"/>
      <c r="R63" s="57"/>
      <c r="S63" s="53"/>
      <c r="T63" s="53"/>
      <c r="U63" s="53"/>
      <c r="V63" s="53"/>
      <c r="W63" s="57"/>
      <c r="X63" s="53"/>
      <c r="Y63" s="53"/>
      <c r="Z63" s="763"/>
      <c r="AA63" s="53"/>
      <c r="AB63" s="53"/>
      <c r="AC63" s="53"/>
      <c r="AD63" s="53"/>
      <c r="AE63" s="53"/>
      <c r="AF63" s="56"/>
      <c r="AG63" s="54"/>
      <c r="AH63" s="54"/>
      <c r="AI63" s="54"/>
      <c r="AJ63" s="54"/>
      <c r="AK63" s="131">
        <v>11</v>
      </c>
    </row>
    <row r="64" s="131" customFormat="1" ht="11.5" customHeight="1">
      <c r="A64" s="762"/>
      <c r="B64" s="762"/>
      <c r="C64" s="762"/>
      <c r="D64" s="762"/>
      <c r="E64" s="762"/>
      <c r="F64" s="57"/>
      <c r="G64" s="57"/>
      <c r="H64" s="131"/>
      <c r="N64" s="53"/>
      <c r="P64" s="53"/>
      <c r="Q64" s="57"/>
      <c r="R64" s="57"/>
      <c r="S64" s="53"/>
      <c r="T64" s="53"/>
      <c r="U64" s="53"/>
      <c r="V64" s="53"/>
      <c r="W64" s="57"/>
      <c r="X64" s="53"/>
      <c r="Y64" s="53"/>
      <c r="Z64" s="763"/>
      <c r="AA64" s="53"/>
      <c r="AB64" s="53"/>
      <c r="AC64" s="53"/>
      <c r="AD64" s="53"/>
      <c r="AE64" s="53"/>
      <c r="AF64" s="56"/>
      <c r="AG64" s="54"/>
      <c r="AH64" s="54"/>
      <c r="AI64" s="54"/>
      <c r="AJ64" s="54"/>
      <c r="AK64" s="131">
        <v>11</v>
      </c>
    </row>
    <row r="65" s="131" customFormat="1" ht="11.5" customHeight="1">
      <c r="A65" s="762"/>
      <c r="B65" s="762"/>
      <c r="C65" s="762"/>
      <c r="D65" s="762"/>
      <c r="E65" s="762"/>
      <c r="F65" s="57"/>
      <c r="G65" s="57"/>
      <c r="H65" s="131"/>
      <c r="N65" s="53"/>
      <c r="P65" s="53"/>
      <c r="Q65" s="57"/>
      <c r="R65" s="57"/>
      <c r="S65" s="53"/>
      <c r="T65" s="53"/>
      <c r="U65" s="53"/>
      <c r="V65" s="53"/>
      <c r="W65" s="57"/>
      <c r="X65" s="53"/>
      <c r="Y65" s="53"/>
      <c r="Z65" s="763"/>
      <c r="AA65" s="53"/>
      <c r="AB65" s="53"/>
      <c r="AC65" s="53"/>
      <c r="AD65" s="53"/>
      <c r="AE65" s="53"/>
      <c r="AF65" s="56"/>
      <c r="AG65" s="54"/>
      <c r="AH65" s="54"/>
      <c r="AI65" s="54"/>
      <c r="AJ65" s="54"/>
      <c r="AK65" s="131">
        <v>11</v>
      </c>
    </row>
    <row r="66" s="131" customFormat="1" ht="11.5" customHeight="1">
      <c r="A66" s="762"/>
      <c r="B66" s="762"/>
      <c r="C66" s="762"/>
      <c r="D66" s="762"/>
      <c r="E66" s="762"/>
      <c r="F66" s="57"/>
      <c r="G66" s="57"/>
      <c r="H66" s="131"/>
      <c r="N66" s="53"/>
      <c r="P66" s="53"/>
      <c r="Q66" s="57"/>
      <c r="R66" s="57"/>
      <c r="S66" s="53"/>
      <c r="T66" s="53"/>
      <c r="U66" s="53"/>
      <c r="V66" s="53"/>
      <c r="W66" s="57"/>
      <c r="X66" s="53"/>
      <c r="Y66" s="53"/>
      <c r="Z66" s="763"/>
      <c r="AA66" s="53"/>
      <c r="AB66" s="53"/>
      <c r="AC66" s="53"/>
      <c r="AD66" s="53"/>
      <c r="AE66" s="53"/>
      <c r="AF66" s="56"/>
      <c r="AG66" s="54"/>
      <c r="AH66" s="54"/>
      <c r="AI66" s="54"/>
      <c r="AJ66" s="54"/>
      <c r="AK66" s="131">
        <v>11</v>
      </c>
    </row>
    <row r="67" s="131" customFormat="1" ht="11.5" customHeight="1">
      <c r="A67" s="762"/>
      <c r="B67" s="762"/>
      <c r="C67" s="762"/>
      <c r="D67" s="762"/>
      <c r="E67" s="762"/>
      <c r="F67" s="57"/>
      <c r="G67" s="57"/>
      <c r="H67" s="131"/>
      <c r="N67" s="53"/>
      <c r="P67" s="53"/>
      <c r="Q67" s="57"/>
      <c r="R67" s="57"/>
      <c r="S67" s="53"/>
      <c r="T67" s="53"/>
      <c r="U67" s="53"/>
      <c r="V67" s="53"/>
      <c r="W67" s="57"/>
      <c r="X67" s="53"/>
      <c r="Y67" s="53"/>
      <c r="Z67" s="763"/>
      <c r="AA67" s="53"/>
      <c r="AB67" s="53"/>
      <c r="AC67" s="53"/>
      <c r="AD67" s="53"/>
      <c r="AE67" s="53"/>
      <c r="AF67" s="56"/>
      <c r="AG67" s="54"/>
      <c r="AH67" s="54"/>
      <c r="AI67" s="54"/>
      <c r="AJ67" s="54"/>
      <c r="AK67" s="131">
        <v>11</v>
      </c>
    </row>
    <row r="68" s="131" customFormat="1" ht="11.5" customHeight="1">
      <c r="A68" s="762"/>
      <c r="B68" s="762"/>
      <c r="C68" s="762"/>
      <c r="D68" s="762"/>
      <c r="E68" s="762"/>
      <c r="F68" s="57"/>
      <c r="G68" s="57"/>
      <c r="H68" s="131"/>
      <c r="N68" s="53"/>
      <c r="P68" s="53"/>
      <c r="Q68" s="57"/>
      <c r="R68" s="57"/>
      <c r="S68" s="53"/>
      <c r="T68" s="53"/>
      <c r="U68" s="53"/>
      <c r="V68" s="53"/>
      <c r="W68" s="57"/>
      <c r="X68" s="53"/>
      <c r="Y68" s="53"/>
      <c r="Z68" s="763"/>
      <c r="AA68" s="53"/>
      <c r="AB68" s="53"/>
      <c r="AC68" s="53"/>
      <c r="AD68" s="53"/>
      <c r="AE68" s="53"/>
      <c r="AF68" s="56"/>
      <c r="AG68" s="54"/>
      <c r="AH68" s="54"/>
      <c r="AI68" s="54"/>
      <c r="AJ68" s="54"/>
      <c r="AK68" s="131">
        <v>11</v>
      </c>
    </row>
    <row r="69" s="131" customFormat="1" ht="11.5" customHeight="1">
      <c r="A69" s="762"/>
      <c r="B69" s="762"/>
      <c r="C69" s="762"/>
      <c r="D69" s="762"/>
      <c r="E69" s="762"/>
      <c r="F69" s="57"/>
      <c r="G69" s="57"/>
      <c r="H69" s="131"/>
      <c r="N69" s="53"/>
      <c r="P69" s="53"/>
      <c r="Q69" s="57"/>
      <c r="R69" s="57"/>
      <c r="S69" s="53"/>
      <c r="T69" s="53"/>
      <c r="U69" s="53"/>
      <c r="V69" s="53"/>
      <c r="W69" s="57"/>
      <c r="X69" s="53"/>
      <c r="Y69" s="53"/>
      <c r="Z69" s="763"/>
      <c r="AA69" s="53"/>
      <c r="AB69" s="53"/>
      <c r="AC69" s="53"/>
      <c r="AD69" s="53"/>
      <c r="AE69" s="53"/>
      <c r="AF69" s="56"/>
      <c r="AG69" s="54"/>
      <c r="AH69" s="54"/>
      <c r="AI69" s="54"/>
      <c r="AJ69" s="54"/>
      <c r="AK69" s="131">
        <v>11</v>
      </c>
    </row>
    <row r="70" s="131" customFormat="1" ht="11.5" customHeight="1">
      <c r="A70" s="762"/>
      <c r="B70" s="762"/>
      <c r="C70" s="762"/>
      <c r="D70" s="762"/>
      <c r="E70" s="762"/>
      <c r="F70" s="57"/>
      <c r="G70" s="57"/>
      <c r="H70" s="131"/>
      <c r="N70" s="53"/>
      <c r="P70" s="53"/>
      <c r="Q70" s="57"/>
      <c r="R70" s="57"/>
      <c r="S70" s="53"/>
      <c r="T70" s="53"/>
      <c r="U70" s="53"/>
      <c r="V70" s="53"/>
      <c r="W70" s="57"/>
      <c r="X70" s="53"/>
      <c r="Y70" s="53"/>
      <c r="Z70" s="763"/>
      <c r="AA70" s="53"/>
      <c r="AB70" s="53"/>
      <c r="AC70" s="53"/>
      <c r="AD70" s="53"/>
      <c r="AE70" s="53"/>
      <c r="AF70" s="56"/>
      <c r="AG70" s="54"/>
      <c r="AH70" s="54"/>
      <c r="AI70" s="54"/>
      <c r="AJ70" s="54"/>
      <c r="AK70" s="131">
        <v>11</v>
      </c>
    </row>
    <row r="71" s="131" customFormat="1" ht="11.5" customHeight="1">
      <c r="A71" s="762"/>
      <c r="B71" s="762"/>
      <c r="C71" s="762"/>
      <c r="D71" s="762"/>
      <c r="E71" s="762"/>
      <c r="F71" s="57"/>
      <c r="G71" s="57"/>
      <c r="H71" s="131"/>
      <c r="N71" s="53"/>
      <c r="P71" s="53"/>
      <c r="Q71" s="57"/>
      <c r="R71" s="57"/>
      <c r="S71" s="53"/>
      <c r="T71" s="53"/>
      <c r="U71" s="53"/>
      <c r="V71" s="53"/>
      <c r="W71" s="57"/>
      <c r="X71" s="53"/>
      <c r="Y71" s="53"/>
      <c r="Z71" s="763"/>
      <c r="AA71" s="53"/>
      <c r="AB71" s="53"/>
      <c r="AC71" s="53"/>
      <c r="AD71" s="53"/>
      <c r="AE71" s="53"/>
      <c r="AF71" s="56"/>
      <c r="AG71" s="54"/>
      <c r="AH71" s="54"/>
      <c r="AI71" s="54"/>
      <c r="AJ71" s="54"/>
      <c r="AK71" s="131">
        <v>11</v>
      </c>
    </row>
    <row r="72" s="131" customFormat="1" ht="11.5" customHeight="1">
      <c r="A72" s="762"/>
      <c r="B72" s="762"/>
      <c r="C72" s="762"/>
      <c r="D72" s="762"/>
      <c r="E72" s="762"/>
      <c r="F72" s="57"/>
      <c r="G72" s="57"/>
      <c r="H72" s="131"/>
      <c r="N72" s="53"/>
      <c r="P72" s="53"/>
      <c r="Q72" s="57"/>
      <c r="R72" s="57"/>
      <c r="S72" s="53"/>
      <c r="T72" s="53"/>
      <c r="U72" s="53"/>
      <c r="V72" s="53"/>
      <c r="W72" s="57"/>
      <c r="X72" s="53"/>
      <c r="Y72" s="53"/>
      <c r="Z72" s="763"/>
      <c r="AA72" s="53"/>
      <c r="AB72" s="53"/>
      <c r="AC72" s="53"/>
      <c r="AD72" s="53"/>
      <c r="AE72" s="53"/>
      <c r="AF72" s="56"/>
      <c r="AG72" s="54"/>
      <c r="AH72" s="54"/>
      <c r="AI72" s="54"/>
      <c r="AJ72" s="54"/>
      <c r="AK72" s="131">
        <v>11</v>
      </c>
    </row>
    <row r="73" s="131" customFormat="1" ht="11.5" customHeight="1">
      <c r="A73" s="762"/>
      <c r="B73" s="762"/>
      <c r="C73" s="762"/>
      <c r="D73" s="762"/>
      <c r="E73" s="762"/>
      <c r="F73" s="57"/>
      <c r="G73" s="57"/>
      <c r="H73" s="131"/>
      <c r="N73" s="53"/>
      <c r="P73" s="53"/>
      <c r="Q73" s="57"/>
      <c r="R73" s="57"/>
      <c r="S73" s="53"/>
      <c r="T73" s="53"/>
      <c r="U73" s="53"/>
      <c r="V73" s="53"/>
      <c r="W73" s="57"/>
      <c r="X73" s="53"/>
      <c r="Y73" s="53"/>
      <c r="Z73" s="763"/>
      <c r="AA73" s="53"/>
      <c r="AB73" s="53"/>
      <c r="AC73" s="53"/>
      <c r="AD73" s="53"/>
      <c r="AE73" s="53"/>
      <c r="AF73" s="56"/>
      <c r="AG73" s="54"/>
      <c r="AH73" s="54"/>
      <c r="AI73" s="54"/>
      <c r="AJ73" s="54"/>
      <c r="AK73" s="131">
        <v>11</v>
      </c>
    </row>
    <row r="74" s="131" customFormat="1" ht="11.5" customHeight="1">
      <c r="A74" s="762"/>
      <c r="B74" s="762"/>
      <c r="C74" s="762"/>
      <c r="D74" s="762"/>
      <c r="E74" s="762"/>
      <c r="F74" s="57"/>
      <c r="G74" s="57"/>
      <c r="H74" s="131"/>
      <c r="N74" s="53"/>
      <c r="P74" s="53"/>
      <c r="Q74" s="57"/>
      <c r="R74" s="57"/>
      <c r="S74" s="53"/>
      <c r="T74" s="53"/>
      <c r="U74" s="53"/>
      <c r="V74" s="53"/>
      <c r="W74" s="57"/>
      <c r="X74" s="53"/>
      <c r="Y74" s="53"/>
      <c r="Z74" s="763"/>
      <c r="AA74" s="53"/>
      <c r="AB74" s="53"/>
      <c r="AC74" s="53"/>
      <c r="AD74" s="53"/>
      <c r="AE74" s="53"/>
      <c r="AF74" s="56"/>
      <c r="AG74" s="54"/>
      <c r="AH74" s="54"/>
      <c r="AI74" s="54"/>
      <c r="AJ74" s="54"/>
      <c r="AK74" s="131">
        <v>11</v>
      </c>
    </row>
    <row r="75" s="131" customFormat="1" ht="11.5" customHeight="1">
      <c r="A75" s="762"/>
      <c r="B75" s="762"/>
      <c r="C75" s="762"/>
      <c r="D75" s="762"/>
      <c r="E75" s="762"/>
      <c r="F75" s="57"/>
      <c r="G75" s="57"/>
      <c r="H75" s="131"/>
      <c r="N75" s="53"/>
      <c r="P75" s="53"/>
      <c r="Q75" s="57"/>
      <c r="R75" s="57"/>
      <c r="S75" s="53"/>
      <c r="T75" s="53"/>
      <c r="U75" s="53"/>
      <c r="V75" s="53"/>
      <c r="W75" s="57"/>
      <c r="X75" s="53"/>
      <c r="Y75" s="53"/>
      <c r="Z75" s="763"/>
      <c r="AA75" s="53"/>
      <c r="AB75" s="53"/>
      <c r="AC75" s="53"/>
      <c r="AD75" s="53"/>
      <c r="AE75" s="53"/>
      <c r="AF75" s="56"/>
      <c r="AG75" s="54"/>
      <c r="AH75" s="54"/>
      <c r="AI75" s="54"/>
      <c r="AJ75" s="54"/>
      <c r="AK75" s="131">
        <v>11</v>
      </c>
    </row>
    <row r="76" s="131" customFormat="1" ht="11.5" customHeight="1">
      <c r="A76" s="762"/>
      <c r="B76" s="762"/>
      <c r="C76" s="762"/>
      <c r="D76" s="762"/>
      <c r="E76" s="762"/>
      <c r="F76" s="57"/>
      <c r="G76" s="57"/>
      <c r="H76" s="131"/>
      <c r="N76" s="53"/>
      <c r="P76" s="53"/>
      <c r="Q76" s="57"/>
      <c r="R76" s="57"/>
      <c r="S76" s="53"/>
      <c r="T76" s="53"/>
      <c r="U76" s="53"/>
      <c r="V76" s="53"/>
      <c r="W76" s="57"/>
      <c r="X76" s="53"/>
      <c r="Y76" s="53"/>
      <c r="Z76" s="763"/>
      <c r="AA76" s="53"/>
      <c r="AB76" s="53"/>
      <c r="AC76" s="53"/>
      <c r="AD76" s="53"/>
      <c r="AE76" s="53"/>
      <c r="AF76" s="56"/>
      <c r="AG76" s="54"/>
      <c r="AH76" s="54"/>
      <c r="AI76" s="54"/>
      <c r="AJ76" s="54"/>
      <c r="AK76" s="131">
        <v>11</v>
      </c>
    </row>
    <row r="77" s="131" customFormat="1" ht="11.5" customHeight="1">
      <c r="A77" s="762"/>
      <c r="B77" s="762"/>
      <c r="C77" s="762"/>
      <c r="D77" s="762"/>
      <c r="E77" s="762"/>
      <c r="F77" s="57"/>
      <c r="G77" s="57"/>
      <c r="H77" s="131"/>
      <c r="N77" s="53"/>
      <c r="P77" s="53"/>
      <c r="Q77" s="57"/>
      <c r="R77" s="57"/>
      <c r="S77" s="53"/>
      <c r="T77" s="53"/>
      <c r="U77" s="53"/>
      <c r="V77" s="53"/>
      <c r="W77" s="57"/>
      <c r="X77" s="53"/>
      <c r="Y77" s="53"/>
      <c r="Z77" s="763"/>
      <c r="AA77" s="53"/>
      <c r="AB77" s="53"/>
      <c r="AC77" s="53"/>
      <c r="AD77" s="53"/>
      <c r="AE77" s="53"/>
      <c r="AF77" s="56"/>
      <c r="AG77" s="54"/>
      <c r="AH77" s="54"/>
      <c r="AI77" s="54"/>
      <c r="AJ77" s="54"/>
      <c r="AK77" s="131">
        <v>11</v>
      </c>
    </row>
    <row r="78" s="131" customFormat="1" ht="11.5" customHeight="1">
      <c r="A78" s="762"/>
      <c r="B78" s="762"/>
      <c r="C78" s="762"/>
      <c r="D78" s="762"/>
      <c r="E78" s="762"/>
      <c r="F78" s="57"/>
      <c r="G78" s="57"/>
      <c r="H78" s="131"/>
      <c r="N78" s="53"/>
      <c r="P78" s="53"/>
      <c r="Q78" s="57"/>
      <c r="R78" s="57"/>
      <c r="S78" s="53"/>
      <c r="T78" s="53"/>
      <c r="U78" s="53"/>
      <c r="V78" s="53"/>
      <c r="W78" s="57"/>
      <c r="X78" s="53"/>
      <c r="Y78" s="53"/>
      <c r="Z78" s="763"/>
      <c r="AA78" s="53"/>
      <c r="AB78" s="53"/>
      <c r="AC78" s="53"/>
      <c r="AD78" s="53"/>
      <c r="AE78" s="53"/>
      <c r="AF78" s="56"/>
      <c r="AG78" s="54"/>
      <c r="AH78" s="54"/>
      <c r="AI78" s="54"/>
      <c r="AJ78" s="54"/>
      <c r="AK78" s="131">
        <v>11</v>
      </c>
    </row>
    <row r="79" s="131" customFormat="1" ht="11.5" customHeight="1">
      <c r="A79" s="762"/>
      <c r="B79" s="762"/>
      <c r="C79" s="762"/>
      <c r="D79" s="762"/>
      <c r="E79" s="762"/>
      <c r="F79" s="57"/>
      <c r="G79" s="57"/>
      <c r="H79" s="131"/>
      <c r="N79" s="53"/>
      <c r="P79" s="53"/>
      <c r="Q79" s="57"/>
      <c r="R79" s="57"/>
      <c r="S79" s="53"/>
      <c r="T79" s="53"/>
      <c r="U79" s="53"/>
      <c r="V79" s="53"/>
      <c r="W79" s="57"/>
      <c r="X79" s="53"/>
      <c r="Y79" s="53"/>
      <c r="Z79" s="763"/>
      <c r="AA79" s="53"/>
      <c r="AB79" s="53"/>
      <c r="AC79" s="53"/>
      <c r="AD79" s="53"/>
      <c r="AE79" s="53"/>
      <c r="AF79" s="56"/>
      <c r="AG79" s="54"/>
      <c r="AH79" s="54"/>
      <c r="AI79" s="54"/>
      <c r="AJ79" s="54"/>
      <c r="AK79" s="131">
        <v>11</v>
      </c>
    </row>
    <row r="80" s="131" customFormat="1" ht="11.5" customHeight="1">
      <c r="A80" s="762"/>
      <c r="B80" s="762"/>
      <c r="C80" s="762"/>
      <c r="D80" s="762"/>
      <c r="E80" s="762"/>
      <c r="F80" s="57"/>
      <c r="G80" s="57"/>
      <c r="H80" s="131"/>
      <c r="N80" s="53"/>
      <c r="P80" s="53"/>
      <c r="Q80" s="57"/>
      <c r="R80" s="57"/>
      <c r="S80" s="53"/>
      <c r="T80" s="53"/>
      <c r="U80" s="53"/>
      <c r="V80" s="53"/>
      <c r="W80" s="57"/>
      <c r="X80" s="53"/>
      <c r="Y80" s="53"/>
      <c r="Z80" s="763"/>
      <c r="AA80" s="53"/>
      <c r="AB80" s="53"/>
      <c r="AC80" s="53"/>
      <c r="AD80" s="53"/>
      <c r="AE80" s="53"/>
      <c r="AF80" s="56"/>
      <c r="AG80" s="54"/>
      <c r="AH80" s="54"/>
      <c r="AI80" s="54"/>
      <c r="AJ80" s="54"/>
      <c r="AK80" s="131">
        <v>11</v>
      </c>
    </row>
    <row r="81" s="131" customFormat="1" ht="11.5" customHeight="1">
      <c r="A81" s="762"/>
      <c r="B81" s="762"/>
      <c r="C81" s="762"/>
      <c r="D81" s="762"/>
      <c r="E81" s="762"/>
      <c r="F81" s="57"/>
      <c r="G81" s="57"/>
      <c r="H81" s="131"/>
      <c r="N81" s="53"/>
      <c r="P81" s="53"/>
      <c r="Q81" s="57"/>
      <c r="R81" s="57"/>
      <c r="S81" s="53"/>
      <c r="T81" s="53"/>
      <c r="U81" s="53"/>
      <c r="V81" s="53"/>
      <c r="W81" s="57"/>
      <c r="X81" s="53"/>
      <c r="Y81" s="53"/>
      <c r="Z81" s="763"/>
      <c r="AA81" s="53"/>
      <c r="AB81" s="53"/>
      <c r="AC81" s="53"/>
      <c r="AD81" s="53"/>
      <c r="AE81" s="53"/>
      <c r="AF81" s="56"/>
      <c r="AG81" s="54"/>
      <c r="AH81" s="54"/>
      <c r="AI81" s="54"/>
      <c r="AJ81" s="54"/>
      <c r="AK81" s="131">
        <v>11</v>
      </c>
    </row>
    <row r="82" s="131" customFormat="1" ht="11.5" customHeight="1">
      <c r="A82" s="762"/>
      <c r="B82" s="762"/>
      <c r="C82" s="762"/>
      <c r="D82" s="762"/>
      <c r="E82" s="762"/>
      <c r="F82" s="57"/>
      <c r="G82" s="57"/>
      <c r="H82" s="131"/>
      <c r="N82" s="53"/>
      <c r="P82" s="53"/>
      <c r="Q82" s="57"/>
      <c r="R82" s="57"/>
      <c r="S82" s="53"/>
      <c r="T82" s="53"/>
      <c r="U82" s="53"/>
      <c r="V82" s="53"/>
      <c r="W82" s="57"/>
      <c r="X82" s="53"/>
      <c r="Y82" s="53"/>
      <c r="Z82" s="763"/>
      <c r="AA82" s="53"/>
      <c r="AB82" s="53"/>
      <c r="AC82" s="53"/>
      <c r="AD82" s="53"/>
      <c r="AE82" s="53"/>
      <c r="AF82" s="56"/>
      <c r="AG82" s="54"/>
      <c r="AH82" s="54"/>
      <c r="AI82" s="54"/>
      <c r="AJ82" s="54"/>
      <c r="AK82" s="131">
        <v>11</v>
      </c>
    </row>
    <row r="83" s="131" customFormat="1" ht="11.5" customHeight="1">
      <c r="A83" s="762"/>
      <c r="B83" s="762"/>
      <c r="C83" s="762"/>
      <c r="D83" s="762"/>
      <c r="E83" s="762"/>
      <c r="F83" s="57"/>
      <c r="G83" s="57"/>
      <c r="H83" s="131"/>
      <c r="N83" s="53"/>
      <c r="P83" s="53"/>
      <c r="Q83" s="57"/>
      <c r="R83" s="57"/>
      <c r="S83" s="53"/>
      <c r="T83" s="53"/>
      <c r="U83" s="53"/>
      <c r="V83" s="53"/>
      <c r="W83" s="57"/>
      <c r="X83" s="53"/>
      <c r="Y83" s="53"/>
      <c r="Z83" s="763"/>
      <c r="AA83" s="53"/>
      <c r="AB83" s="53"/>
      <c r="AC83" s="53"/>
      <c r="AD83" s="53"/>
      <c r="AE83" s="53"/>
      <c r="AF83" s="56"/>
      <c r="AG83" s="54"/>
      <c r="AH83" s="54"/>
      <c r="AI83" s="54"/>
      <c r="AJ83" s="54"/>
      <c r="AK83" s="131">
        <v>11</v>
      </c>
    </row>
    <row r="84" s="131" customFormat="1" ht="11.5" customHeight="1">
      <c r="A84" s="762"/>
      <c r="B84" s="762"/>
      <c r="C84" s="762"/>
      <c r="D84" s="762"/>
      <c r="E84" s="762"/>
      <c r="F84" s="57"/>
      <c r="G84" s="57"/>
      <c r="H84" s="131"/>
      <c r="N84" s="53"/>
      <c r="P84" s="53"/>
      <c r="Q84" s="57"/>
      <c r="R84" s="57"/>
      <c r="S84" s="53"/>
      <c r="T84" s="53"/>
      <c r="U84" s="53"/>
      <c r="V84" s="53"/>
      <c r="W84" s="57"/>
      <c r="X84" s="53"/>
      <c r="Y84" s="53"/>
      <c r="Z84" s="763"/>
      <c r="AA84" s="53"/>
      <c r="AB84" s="53"/>
      <c r="AC84" s="53"/>
      <c r="AD84" s="53"/>
      <c r="AE84" s="53"/>
      <c r="AF84" s="56"/>
      <c r="AG84" s="54"/>
      <c r="AH84" s="54"/>
      <c r="AI84" s="54"/>
      <c r="AJ84" s="54"/>
      <c r="AK84" s="131">
        <v>11</v>
      </c>
    </row>
    <row r="85" s="131" customFormat="1" ht="11.5" customHeight="1">
      <c r="A85" s="762"/>
      <c r="B85" s="762"/>
      <c r="C85" s="762"/>
      <c r="D85" s="762"/>
      <c r="E85" s="762"/>
      <c r="F85" s="57"/>
      <c r="G85" s="57"/>
      <c r="H85" s="131"/>
      <c r="N85" s="53"/>
      <c r="P85" s="53"/>
      <c r="Q85" s="57"/>
      <c r="R85" s="57"/>
      <c r="S85" s="53"/>
      <c r="T85" s="53"/>
      <c r="U85" s="53"/>
      <c r="V85" s="53"/>
      <c r="W85" s="57"/>
      <c r="X85" s="53"/>
      <c r="Y85" s="53"/>
      <c r="Z85" s="763"/>
      <c r="AA85" s="53"/>
      <c r="AB85" s="53"/>
      <c r="AC85" s="53"/>
      <c r="AD85" s="53"/>
      <c r="AE85" s="53"/>
      <c r="AF85" s="56"/>
      <c r="AG85" s="54"/>
      <c r="AH85" s="54"/>
      <c r="AI85" s="54"/>
      <c r="AJ85" s="54"/>
      <c r="AK85" s="131">
        <v>11</v>
      </c>
    </row>
    <row r="86" s="131" customFormat="1" ht="11.5" customHeight="1">
      <c r="A86" s="762"/>
      <c r="B86" s="762"/>
      <c r="C86" s="762"/>
      <c r="D86" s="762"/>
      <c r="E86" s="762"/>
      <c r="F86" s="57"/>
      <c r="G86" s="57"/>
      <c r="H86" s="131"/>
      <c r="N86" s="53"/>
      <c r="P86" s="53"/>
      <c r="Q86" s="57"/>
      <c r="R86" s="57"/>
      <c r="S86" s="53"/>
      <c r="T86" s="53"/>
      <c r="U86" s="53"/>
      <c r="V86" s="53"/>
      <c r="W86" s="57"/>
      <c r="X86" s="53"/>
      <c r="Y86" s="53"/>
      <c r="Z86" s="763"/>
      <c r="AA86" s="53"/>
      <c r="AB86" s="53"/>
      <c r="AC86" s="53"/>
      <c r="AD86" s="53"/>
      <c r="AE86" s="53"/>
      <c r="AF86" s="56"/>
      <c r="AG86" s="54"/>
      <c r="AH86" s="54"/>
      <c r="AI86" s="54"/>
      <c r="AJ86" s="54"/>
      <c r="AK86" s="131">
        <v>11</v>
      </c>
    </row>
    <row r="87" s="131" customFormat="1" ht="11.5" customHeight="1">
      <c r="A87" s="762"/>
      <c r="B87" s="762"/>
      <c r="C87" s="762"/>
      <c r="D87" s="762"/>
      <c r="E87" s="762"/>
      <c r="F87" s="57"/>
      <c r="G87" s="57"/>
      <c r="H87" s="131"/>
      <c r="N87" s="53"/>
      <c r="P87" s="53"/>
      <c r="Q87" s="57"/>
      <c r="R87" s="57"/>
      <c r="S87" s="53"/>
      <c r="T87" s="53"/>
      <c r="U87" s="53"/>
      <c r="V87" s="53"/>
      <c r="W87" s="57"/>
      <c r="X87" s="53"/>
      <c r="Y87" s="53"/>
      <c r="Z87" s="763"/>
      <c r="AA87" s="53"/>
      <c r="AB87" s="53"/>
      <c r="AC87" s="53"/>
      <c r="AD87" s="53"/>
      <c r="AE87" s="53"/>
      <c r="AF87" s="56"/>
      <c r="AG87" s="54"/>
      <c r="AH87" s="54"/>
      <c r="AI87" s="54"/>
      <c r="AJ87" s="54"/>
      <c r="AK87" s="131">
        <v>11</v>
      </c>
    </row>
    <row r="88" s="131" customFormat="1" ht="11.5" customHeight="1">
      <c r="A88" s="762"/>
      <c r="B88" s="762"/>
      <c r="C88" s="762"/>
      <c r="D88" s="762"/>
      <c r="E88" s="762"/>
      <c r="F88" s="57"/>
      <c r="G88" s="57"/>
      <c r="H88" s="131"/>
      <c r="N88" s="53"/>
      <c r="P88" s="53"/>
      <c r="Q88" s="57"/>
      <c r="R88" s="57"/>
      <c r="S88" s="53"/>
      <c r="T88" s="53"/>
      <c r="U88" s="53"/>
      <c r="V88" s="53"/>
      <c r="W88" s="57"/>
      <c r="X88" s="53"/>
      <c r="Y88" s="53"/>
      <c r="Z88" s="763"/>
      <c r="AA88" s="53"/>
      <c r="AB88" s="53"/>
      <c r="AC88" s="53"/>
      <c r="AD88" s="53"/>
      <c r="AE88" s="53"/>
      <c r="AF88" s="56"/>
      <c r="AG88" s="54"/>
      <c r="AH88" s="54"/>
      <c r="AI88" s="54"/>
      <c r="AJ88" s="54"/>
      <c r="AK88" s="131">
        <v>11</v>
      </c>
    </row>
    <row r="89" s="131" customFormat="1" ht="11.5" customHeight="1">
      <c r="A89" s="762"/>
      <c r="B89" s="762"/>
      <c r="C89" s="762"/>
      <c r="D89" s="762"/>
      <c r="E89" s="762"/>
      <c r="F89" s="57"/>
      <c r="G89" s="57"/>
      <c r="H89" s="131"/>
      <c r="N89" s="53"/>
      <c r="P89" s="53"/>
      <c r="Q89" s="57"/>
      <c r="R89" s="57"/>
      <c r="S89" s="53"/>
      <c r="T89" s="53"/>
      <c r="U89" s="53"/>
      <c r="V89" s="53"/>
      <c r="W89" s="57"/>
      <c r="X89" s="53"/>
      <c r="Y89" s="53"/>
      <c r="Z89" s="763"/>
      <c r="AA89" s="53"/>
      <c r="AB89" s="53"/>
      <c r="AC89" s="53"/>
      <c r="AD89" s="53"/>
      <c r="AE89" s="53"/>
      <c r="AF89" s="56"/>
      <c r="AG89" s="54"/>
      <c r="AH89" s="54"/>
      <c r="AI89" s="54"/>
      <c r="AJ89" s="54"/>
      <c r="AK89" s="131">
        <v>11</v>
      </c>
    </row>
    <row r="90" s="131" customFormat="1" ht="11.5" customHeight="1">
      <c r="A90" s="762"/>
      <c r="B90" s="762"/>
      <c r="C90" s="762"/>
      <c r="D90" s="762"/>
      <c r="E90" s="762"/>
      <c r="F90" s="57"/>
      <c r="G90" s="57"/>
      <c r="H90" s="131"/>
      <c r="N90" s="53"/>
      <c r="P90" s="53"/>
      <c r="Q90" s="57"/>
      <c r="R90" s="57"/>
      <c r="S90" s="53"/>
      <c r="T90" s="53"/>
      <c r="U90" s="53"/>
      <c r="V90" s="53"/>
      <c r="W90" s="57"/>
      <c r="X90" s="53"/>
      <c r="Y90" s="53"/>
      <c r="Z90" s="763"/>
      <c r="AA90" s="53"/>
      <c r="AB90" s="53"/>
      <c r="AC90" s="53"/>
      <c r="AD90" s="53"/>
      <c r="AE90" s="53"/>
      <c r="AF90" s="56"/>
      <c r="AG90" s="54"/>
      <c r="AH90" s="54"/>
      <c r="AI90" s="54"/>
      <c r="AJ90" s="54"/>
      <c r="AK90" s="131">
        <v>11</v>
      </c>
    </row>
    <row r="91" s="131" customFormat="1" ht="11.5" customHeight="1">
      <c r="A91" s="762"/>
      <c r="B91" s="762"/>
      <c r="C91" s="762"/>
      <c r="D91" s="762"/>
      <c r="E91" s="762"/>
      <c r="F91" s="57"/>
      <c r="G91" s="57"/>
      <c r="H91" s="131"/>
      <c r="N91" s="53"/>
      <c r="P91" s="53"/>
      <c r="Q91" s="57"/>
      <c r="R91" s="57"/>
      <c r="S91" s="53"/>
      <c r="T91" s="53"/>
      <c r="U91" s="53"/>
      <c r="V91" s="53"/>
      <c r="W91" s="57"/>
      <c r="X91" s="53"/>
      <c r="Y91" s="53"/>
      <c r="Z91" s="763"/>
      <c r="AA91" s="53"/>
      <c r="AB91" s="53"/>
      <c r="AC91" s="53"/>
      <c r="AD91" s="53"/>
      <c r="AE91" s="53"/>
      <c r="AF91" s="56"/>
      <c r="AG91" s="54"/>
      <c r="AH91" s="54"/>
      <c r="AI91" s="54"/>
      <c r="AJ91" s="54"/>
      <c r="AK91" s="131">
        <v>11</v>
      </c>
    </row>
    <row r="92" s="131" customFormat="1" ht="11.5" customHeight="1">
      <c r="A92" s="762"/>
      <c r="B92" s="762"/>
      <c r="C92" s="762"/>
      <c r="D92" s="762"/>
      <c r="E92" s="762"/>
      <c r="F92" s="57"/>
      <c r="G92" s="57"/>
      <c r="H92" s="131"/>
      <c r="N92" s="53"/>
      <c r="P92" s="53"/>
      <c r="Q92" s="57"/>
      <c r="R92" s="57"/>
      <c r="S92" s="53"/>
      <c r="T92" s="53"/>
      <c r="U92" s="53"/>
      <c r="V92" s="53"/>
      <c r="W92" s="57"/>
      <c r="X92" s="53"/>
      <c r="Y92" s="53"/>
      <c r="Z92" s="763"/>
      <c r="AA92" s="53"/>
      <c r="AB92" s="53"/>
      <c r="AC92" s="53"/>
      <c r="AD92" s="53"/>
      <c r="AE92" s="53"/>
      <c r="AF92" s="56"/>
      <c r="AG92" s="54"/>
      <c r="AH92" s="54"/>
      <c r="AI92" s="54"/>
      <c r="AJ92" s="54"/>
      <c r="AK92" s="131">
        <v>11</v>
      </c>
    </row>
    <row r="93" s="131" customFormat="1" ht="11.5" customHeight="1">
      <c r="A93" s="762"/>
      <c r="B93" s="762"/>
      <c r="C93" s="762"/>
      <c r="D93" s="762"/>
      <c r="E93" s="762"/>
      <c r="F93" s="57"/>
      <c r="G93" s="57"/>
      <c r="H93" s="131"/>
      <c r="N93" s="53"/>
      <c r="P93" s="53"/>
      <c r="Q93" s="57"/>
      <c r="R93" s="57"/>
      <c r="S93" s="53"/>
      <c r="T93" s="53"/>
      <c r="U93" s="53"/>
      <c r="V93" s="53"/>
      <c r="W93" s="57"/>
      <c r="X93" s="53"/>
      <c r="Y93" s="53"/>
      <c r="Z93" s="763"/>
      <c r="AA93" s="53"/>
      <c r="AB93" s="53"/>
      <c r="AC93" s="53"/>
      <c r="AD93" s="53"/>
      <c r="AE93" s="53"/>
      <c r="AF93" s="56"/>
      <c r="AG93" s="54"/>
      <c r="AH93" s="54"/>
      <c r="AI93" s="54"/>
      <c r="AJ93" s="54"/>
      <c r="AK93" s="131">
        <v>11</v>
      </c>
    </row>
    <row r="94" s="131" customFormat="1" ht="11.5" customHeight="1">
      <c r="A94" s="762"/>
      <c r="B94" s="762"/>
      <c r="C94" s="762"/>
      <c r="D94" s="762"/>
      <c r="E94" s="762"/>
      <c r="F94" s="57"/>
      <c r="G94" s="57"/>
      <c r="H94" s="131"/>
      <c r="N94" s="53"/>
      <c r="P94" s="53"/>
      <c r="Q94" s="57"/>
      <c r="R94" s="57"/>
      <c r="S94" s="53"/>
      <c r="T94" s="53"/>
      <c r="U94" s="53"/>
      <c r="V94" s="53"/>
      <c r="W94" s="57"/>
      <c r="X94" s="53"/>
      <c r="Y94" s="53"/>
      <c r="Z94" s="763"/>
      <c r="AA94" s="53"/>
      <c r="AB94" s="53"/>
      <c r="AC94" s="53"/>
      <c r="AD94" s="53"/>
      <c r="AE94" s="53"/>
      <c r="AF94" s="56"/>
      <c r="AG94" s="54"/>
      <c r="AH94" s="54"/>
      <c r="AI94" s="54"/>
      <c r="AJ94" s="54"/>
      <c r="AK94" s="131">
        <v>11</v>
      </c>
    </row>
    <row r="95" s="131" customFormat="1" ht="11.5" customHeight="1">
      <c r="A95" s="762"/>
      <c r="B95" s="762"/>
      <c r="C95" s="762"/>
      <c r="D95" s="762"/>
      <c r="E95" s="762"/>
      <c r="F95" s="57"/>
      <c r="G95" s="57"/>
      <c r="H95" s="131"/>
      <c r="N95" s="53"/>
      <c r="P95" s="53"/>
      <c r="Q95" s="57"/>
      <c r="R95" s="57"/>
      <c r="S95" s="53"/>
      <c r="T95" s="53"/>
      <c r="U95" s="53"/>
      <c r="V95" s="53"/>
      <c r="W95" s="57"/>
      <c r="X95" s="53"/>
      <c r="Y95" s="53"/>
      <c r="Z95" s="763"/>
      <c r="AA95" s="53"/>
      <c r="AB95" s="53"/>
      <c r="AC95" s="53"/>
      <c r="AD95" s="53"/>
      <c r="AE95" s="53"/>
      <c r="AF95" s="56"/>
      <c r="AG95" s="54"/>
      <c r="AH95" s="54"/>
      <c r="AI95" s="54"/>
      <c r="AJ95" s="54"/>
      <c r="AK95" s="131">
        <v>11</v>
      </c>
    </row>
    <row r="96" s="131" customFormat="1" ht="11.5" customHeight="1">
      <c r="A96" s="762"/>
      <c r="B96" s="762"/>
      <c r="C96" s="762"/>
      <c r="D96" s="762"/>
      <c r="E96" s="762"/>
      <c r="F96" s="57"/>
      <c r="G96" s="57"/>
      <c r="H96" s="131"/>
      <c r="N96" s="53"/>
      <c r="P96" s="53"/>
      <c r="Q96" s="57"/>
      <c r="R96" s="57"/>
      <c r="S96" s="53"/>
      <c r="T96" s="53"/>
      <c r="U96" s="53"/>
      <c r="V96" s="53"/>
      <c r="W96" s="57"/>
      <c r="X96" s="53"/>
      <c r="Y96" s="53"/>
      <c r="Z96" s="763"/>
      <c r="AA96" s="53"/>
      <c r="AB96" s="53"/>
      <c r="AC96" s="53"/>
      <c r="AD96" s="53"/>
      <c r="AE96" s="53"/>
      <c r="AF96" s="56"/>
      <c r="AG96" s="54"/>
      <c r="AH96" s="54"/>
      <c r="AI96" s="54"/>
      <c r="AJ96" s="54"/>
      <c r="AK96" s="131">
        <v>11</v>
      </c>
    </row>
    <row r="97" s="131" customFormat="1" ht="11.5" customHeight="1">
      <c r="A97" s="762"/>
      <c r="B97" s="762"/>
      <c r="C97" s="762"/>
      <c r="D97" s="762"/>
      <c r="E97" s="762"/>
      <c r="F97" s="57"/>
      <c r="G97" s="57"/>
      <c r="H97" s="131"/>
      <c r="N97" s="53"/>
      <c r="P97" s="53"/>
      <c r="Q97" s="57"/>
      <c r="R97" s="57"/>
      <c r="S97" s="53"/>
      <c r="T97" s="53"/>
      <c r="U97" s="53"/>
      <c r="V97" s="53"/>
      <c r="W97" s="57"/>
      <c r="X97" s="53"/>
      <c r="Y97" s="53"/>
      <c r="Z97" s="763"/>
      <c r="AA97" s="53"/>
      <c r="AB97" s="53"/>
      <c r="AC97" s="53"/>
      <c r="AD97" s="53"/>
      <c r="AE97" s="53"/>
      <c r="AF97" s="56"/>
      <c r="AG97" s="54"/>
      <c r="AH97" s="54"/>
      <c r="AI97" s="54"/>
      <c r="AJ97" s="54"/>
      <c r="AK97" s="131">
        <v>11</v>
      </c>
    </row>
    <row r="98" s="131" customFormat="1" ht="11.5" customHeight="1">
      <c r="A98" s="762"/>
      <c r="B98" s="762"/>
      <c r="C98" s="762"/>
      <c r="D98" s="762"/>
      <c r="E98" s="762"/>
      <c r="F98" s="57"/>
      <c r="G98" s="57"/>
      <c r="H98" s="131"/>
      <c r="N98" s="53"/>
      <c r="P98" s="53"/>
      <c r="Q98" s="57"/>
      <c r="R98" s="57"/>
      <c r="S98" s="53"/>
      <c r="T98" s="53"/>
      <c r="U98" s="53"/>
      <c r="V98" s="53"/>
      <c r="W98" s="57"/>
      <c r="X98" s="53"/>
      <c r="Y98" s="53"/>
      <c r="Z98" s="763"/>
      <c r="AA98" s="53"/>
      <c r="AB98" s="53"/>
      <c r="AC98" s="53"/>
      <c r="AD98" s="53"/>
      <c r="AE98" s="53"/>
      <c r="AF98" s="56"/>
      <c r="AG98" s="54"/>
      <c r="AH98" s="54"/>
      <c r="AI98" s="54"/>
      <c r="AJ98" s="54"/>
      <c r="AK98" s="131">
        <v>11</v>
      </c>
    </row>
    <row r="99" s="131" customFormat="1" ht="11.5" customHeight="1">
      <c r="A99" s="762"/>
      <c r="B99" s="762"/>
      <c r="C99" s="762"/>
      <c r="D99" s="762"/>
      <c r="E99" s="762"/>
      <c r="F99" s="57"/>
      <c r="G99" s="57"/>
      <c r="H99" s="131"/>
      <c r="N99" s="53"/>
      <c r="P99" s="53"/>
      <c r="Q99" s="57"/>
      <c r="R99" s="57"/>
      <c r="S99" s="53"/>
      <c r="T99" s="53"/>
      <c r="U99" s="53"/>
      <c r="V99" s="53"/>
      <c r="W99" s="57"/>
      <c r="X99" s="53"/>
      <c r="Y99" s="53"/>
      <c r="Z99" s="763"/>
      <c r="AA99" s="53"/>
      <c r="AB99" s="53"/>
      <c r="AC99" s="53"/>
      <c r="AD99" s="53"/>
      <c r="AE99" s="53"/>
      <c r="AF99" s="56"/>
      <c r="AG99" s="54"/>
      <c r="AH99" s="54"/>
      <c r="AI99" s="54"/>
      <c r="AJ99" s="54"/>
      <c r="AK99" s="131">
        <v>11</v>
      </c>
    </row>
    <row r="100" s="131" customFormat="1" ht="11.5" customHeight="1">
      <c r="A100" s="762"/>
      <c r="B100" s="762"/>
      <c r="C100" s="762"/>
      <c r="D100" s="762"/>
      <c r="E100" s="762"/>
      <c r="F100" s="57"/>
      <c r="G100" s="57"/>
      <c r="H100" s="131"/>
      <c r="N100" s="53"/>
      <c r="P100" s="53"/>
      <c r="Q100" s="57"/>
      <c r="R100" s="57"/>
      <c r="S100" s="53"/>
      <c r="T100" s="53"/>
      <c r="U100" s="53"/>
      <c r="V100" s="53"/>
      <c r="W100" s="57"/>
      <c r="X100" s="53"/>
      <c r="Y100" s="53"/>
      <c r="Z100" s="763"/>
      <c r="AA100" s="53"/>
      <c r="AB100" s="53"/>
      <c r="AC100" s="53"/>
      <c r="AD100" s="53"/>
      <c r="AE100" s="53"/>
      <c r="AF100" s="56"/>
      <c r="AG100" s="54"/>
      <c r="AH100" s="54"/>
      <c r="AI100" s="54"/>
      <c r="AJ100" s="54"/>
      <c r="AK100" s="131">
        <v>11</v>
      </c>
    </row>
    <row r="101" s="131" customFormat="1" ht="11.5" customHeight="1">
      <c r="A101" s="762"/>
      <c r="B101" s="762"/>
      <c r="C101" s="762"/>
      <c r="D101" s="762"/>
      <c r="E101" s="762"/>
      <c r="F101" s="57"/>
      <c r="G101" s="57"/>
      <c r="H101" s="131"/>
      <c r="N101" s="53"/>
      <c r="P101" s="53"/>
      <c r="Q101" s="57"/>
      <c r="R101" s="57"/>
      <c r="S101" s="53"/>
      <c r="T101" s="53"/>
      <c r="U101" s="53"/>
      <c r="V101" s="53"/>
      <c r="W101" s="57"/>
      <c r="X101" s="53"/>
      <c r="Y101" s="53"/>
      <c r="Z101" s="763"/>
      <c r="AA101" s="53"/>
      <c r="AB101" s="53"/>
      <c r="AC101" s="53"/>
      <c r="AD101" s="53"/>
      <c r="AE101" s="53"/>
      <c r="AF101" s="56"/>
      <c r="AG101" s="54"/>
      <c r="AH101" s="54"/>
      <c r="AI101" s="54"/>
      <c r="AJ101" s="54"/>
      <c r="AK101" s="131">
        <v>11</v>
      </c>
    </row>
    <row r="102" s="131" customFormat="1" ht="11.5" customHeight="1">
      <c r="A102" s="762"/>
      <c r="B102" s="762"/>
      <c r="C102" s="762"/>
      <c r="D102" s="762"/>
      <c r="E102" s="762"/>
      <c r="F102" s="57"/>
      <c r="G102" s="57"/>
      <c r="H102" s="131"/>
      <c r="N102" s="53"/>
      <c r="P102" s="53"/>
      <c r="Q102" s="57"/>
      <c r="R102" s="57"/>
      <c r="S102" s="53"/>
      <c r="T102" s="53"/>
      <c r="U102" s="53"/>
      <c r="V102" s="53"/>
      <c r="W102" s="57"/>
      <c r="X102" s="53"/>
      <c r="Y102" s="53"/>
      <c r="Z102" s="763"/>
      <c r="AA102" s="53"/>
      <c r="AB102" s="53"/>
      <c r="AC102" s="53"/>
      <c r="AD102" s="53"/>
      <c r="AE102" s="53"/>
      <c r="AF102" s="56"/>
      <c r="AG102" s="54"/>
      <c r="AH102" s="54"/>
      <c r="AI102" s="54"/>
      <c r="AJ102" s="54"/>
      <c r="AK102" s="131">
        <v>11</v>
      </c>
    </row>
    <row r="103" s="131" customFormat="1" ht="11.5" customHeight="1">
      <c r="A103" s="762"/>
      <c r="B103" s="762"/>
      <c r="C103" s="762"/>
      <c r="D103" s="762"/>
      <c r="E103" s="762"/>
      <c r="F103" s="57"/>
      <c r="G103" s="57"/>
      <c r="H103" s="131"/>
      <c r="N103" s="53"/>
      <c r="P103" s="53"/>
      <c r="Q103" s="57"/>
      <c r="R103" s="57"/>
      <c r="S103" s="53"/>
      <c r="T103" s="53"/>
      <c r="U103" s="53"/>
      <c r="V103" s="53"/>
      <c r="W103" s="57"/>
      <c r="X103" s="53"/>
      <c r="Y103" s="53"/>
      <c r="Z103" s="763"/>
      <c r="AA103" s="53"/>
      <c r="AB103" s="53"/>
      <c r="AC103" s="53"/>
      <c r="AD103" s="53"/>
      <c r="AE103" s="53"/>
      <c r="AF103" s="56"/>
      <c r="AG103" s="54"/>
      <c r="AH103" s="54"/>
      <c r="AI103" s="54"/>
      <c r="AJ103" s="54"/>
      <c r="AK103" s="131">
        <v>11</v>
      </c>
    </row>
    <row r="104" s="131" customFormat="1" ht="11.5" customHeight="1">
      <c r="A104" s="762"/>
      <c r="B104" s="762"/>
      <c r="C104" s="762"/>
      <c r="D104" s="762"/>
      <c r="E104" s="762"/>
      <c r="F104" s="57"/>
      <c r="G104" s="57"/>
      <c r="H104" s="131"/>
      <c r="N104" s="53"/>
      <c r="P104" s="53"/>
      <c r="Q104" s="57"/>
      <c r="R104" s="57"/>
      <c r="S104" s="53"/>
      <c r="T104" s="53"/>
      <c r="U104" s="53"/>
      <c r="V104" s="53"/>
      <c r="W104" s="57"/>
      <c r="X104" s="53"/>
      <c r="Y104" s="53"/>
      <c r="Z104" s="763"/>
      <c r="AA104" s="53"/>
      <c r="AB104" s="53"/>
      <c r="AC104" s="53"/>
      <c r="AD104" s="53"/>
      <c r="AE104" s="53"/>
      <c r="AF104" s="56"/>
      <c r="AG104" s="54"/>
      <c r="AH104" s="54"/>
      <c r="AI104" s="54"/>
      <c r="AJ104" s="54"/>
      <c r="AK104" s="131">
        <v>11</v>
      </c>
    </row>
    <row r="105" s="131" customFormat="1" ht="11.5" customHeight="1">
      <c r="A105" s="762"/>
      <c r="B105" s="762"/>
      <c r="C105" s="762"/>
      <c r="D105" s="762"/>
      <c r="E105" s="762"/>
      <c r="F105" s="57"/>
      <c r="G105" s="57"/>
      <c r="H105" s="131"/>
      <c r="N105" s="53"/>
      <c r="P105" s="53"/>
      <c r="Q105" s="57"/>
      <c r="R105" s="57"/>
      <c r="S105" s="53"/>
      <c r="T105" s="53"/>
      <c r="U105" s="53"/>
      <c r="V105" s="53"/>
      <c r="W105" s="57"/>
      <c r="X105" s="53"/>
      <c r="Y105" s="53"/>
      <c r="Z105" s="763"/>
      <c r="AA105" s="53"/>
      <c r="AB105" s="53"/>
      <c r="AC105" s="53"/>
      <c r="AD105" s="53"/>
      <c r="AE105" s="53"/>
      <c r="AF105" s="56"/>
      <c r="AG105" s="54"/>
      <c r="AH105" s="54"/>
      <c r="AI105" s="54"/>
      <c r="AJ105" s="54"/>
      <c r="AK105" s="131">
        <v>11</v>
      </c>
    </row>
    <row r="106" s="131" customFormat="1" ht="11.5" customHeight="1">
      <c r="A106" s="762"/>
      <c r="B106" s="762"/>
      <c r="C106" s="762"/>
      <c r="D106" s="762"/>
      <c r="E106" s="762"/>
      <c r="F106" s="57"/>
      <c r="G106" s="57"/>
      <c r="H106" s="131"/>
      <c r="N106" s="53"/>
      <c r="P106" s="53"/>
      <c r="Q106" s="57"/>
      <c r="R106" s="57"/>
      <c r="S106" s="53"/>
      <c r="T106" s="53"/>
      <c r="U106" s="53"/>
      <c r="V106" s="53"/>
      <c r="W106" s="57"/>
      <c r="X106" s="53"/>
      <c r="Y106" s="53"/>
      <c r="Z106" s="763"/>
      <c r="AA106" s="53"/>
      <c r="AB106" s="53"/>
      <c r="AC106" s="53"/>
      <c r="AD106" s="53"/>
      <c r="AE106" s="53"/>
      <c r="AF106" s="56"/>
      <c r="AG106" s="54"/>
      <c r="AH106" s="54"/>
      <c r="AI106" s="54"/>
      <c r="AJ106" s="54"/>
      <c r="AK106" s="131">
        <v>11</v>
      </c>
    </row>
    <row r="107" s="131" customFormat="1" ht="11.5" customHeight="1">
      <c r="A107" s="762"/>
      <c r="B107" s="762"/>
      <c r="C107" s="762"/>
      <c r="D107" s="762"/>
      <c r="E107" s="762"/>
      <c r="F107" s="57"/>
      <c r="G107" s="57"/>
      <c r="H107" s="131"/>
      <c r="N107" s="53"/>
      <c r="P107" s="53"/>
      <c r="Q107" s="57"/>
      <c r="R107" s="57"/>
      <c r="S107" s="53"/>
      <c r="T107" s="53"/>
      <c r="U107" s="53"/>
      <c r="V107" s="53"/>
      <c r="W107" s="57"/>
      <c r="X107" s="53"/>
      <c r="Y107" s="53"/>
      <c r="Z107" s="763"/>
      <c r="AA107" s="53"/>
      <c r="AB107" s="53"/>
      <c r="AC107" s="53"/>
      <c r="AD107" s="53"/>
      <c r="AE107" s="53"/>
      <c r="AF107" s="56"/>
      <c r="AG107" s="54"/>
      <c r="AH107" s="54"/>
      <c r="AI107" s="54"/>
      <c r="AJ107" s="54"/>
      <c r="AK107" s="131">
        <v>11</v>
      </c>
    </row>
    <row r="108" s="131" customFormat="1" ht="11.5" customHeight="1">
      <c r="A108" s="762"/>
      <c r="B108" s="762"/>
      <c r="C108" s="762"/>
      <c r="D108" s="762"/>
      <c r="E108" s="762"/>
      <c r="F108" s="57"/>
      <c r="G108" s="57"/>
      <c r="H108" s="131"/>
      <c r="N108" s="53"/>
      <c r="P108" s="53"/>
      <c r="Q108" s="57"/>
      <c r="R108" s="57"/>
      <c r="S108" s="53"/>
      <c r="T108" s="53"/>
      <c r="U108" s="53"/>
      <c r="V108" s="53"/>
      <c r="W108" s="57"/>
      <c r="X108" s="53"/>
      <c r="Y108" s="53"/>
      <c r="Z108" s="763"/>
      <c r="AA108" s="53"/>
      <c r="AB108" s="53"/>
      <c r="AC108" s="53"/>
      <c r="AD108" s="53"/>
      <c r="AE108" s="53"/>
      <c r="AF108" s="56"/>
      <c r="AG108" s="54"/>
      <c r="AH108" s="54"/>
      <c r="AI108" s="54"/>
      <c r="AJ108" s="54"/>
      <c r="AK108" s="131">
        <v>11</v>
      </c>
    </row>
    <row r="109" s="131" customFormat="1" ht="11.5" customHeight="1">
      <c r="A109" s="762"/>
      <c r="B109" s="762"/>
      <c r="C109" s="762"/>
      <c r="D109" s="762"/>
      <c r="E109" s="762"/>
      <c r="F109" s="57"/>
      <c r="G109" s="57"/>
      <c r="H109" s="131"/>
      <c r="N109" s="53"/>
      <c r="P109" s="53"/>
      <c r="Q109" s="57"/>
      <c r="R109" s="57"/>
      <c r="S109" s="53"/>
      <c r="T109" s="53"/>
      <c r="U109" s="53"/>
      <c r="V109" s="53"/>
      <c r="W109" s="57"/>
      <c r="X109" s="53"/>
      <c r="Y109" s="53"/>
      <c r="Z109" s="763"/>
      <c r="AA109" s="53"/>
      <c r="AB109" s="53"/>
      <c r="AC109" s="53"/>
      <c r="AD109" s="53"/>
      <c r="AE109" s="53"/>
      <c r="AF109" s="56"/>
      <c r="AG109" s="54"/>
      <c r="AH109" s="54"/>
      <c r="AI109" s="54"/>
      <c r="AJ109" s="54"/>
      <c r="AK109" s="131">
        <v>11</v>
      </c>
    </row>
    <row r="110" s="131" customFormat="1" ht="11.5" customHeight="1">
      <c r="A110" s="762"/>
      <c r="B110" s="762"/>
      <c r="C110" s="762"/>
      <c r="D110" s="762"/>
      <c r="E110" s="762"/>
      <c r="F110" s="57"/>
      <c r="G110" s="57"/>
      <c r="H110" s="131"/>
      <c r="N110" s="53"/>
      <c r="P110" s="53"/>
      <c r="Q110" s="57"/>
      <c r="R110" s="57"/>
      <c r="S110" s="53"/>
      <c r="T110" s="53"/>
      <c r="U110" s="53"/>
      <c r="V110" s="53"/>
      <c r="W110" s="57"/>
      <c r="X110" s="53"/>
      <c r="Y110" s="53"/>
      <c r="Z110" s="763"/>
      <c r="AA110" s="53"/>
      <c r="AB110" s="53"/>
      <c r="AC110" s="53"/>
      <c r="AD110" s="53"/>
      <c r="AE110" s="53"/>
      <c r="AF110" s="56"/>
      <c r="AG110" s="54"/>
      <c r="AH110" s="54"/>
      <c r="AI110" s="54"/>
      <c r="AJ110" s="54"/>
      <c r="AK110" s="131">
        <v>11</v>
      </c>
    </row>
    <row r="111" s="131" customFormat="1" ht="11.5" customHeight="1">
      <c r="A111" s="762"/>
      <c r="B111" s="762"/>
      <c r="C111" s="762"/>
      <c r="D111" s="762"/>
      <c r="E111" s="762"/>
      <c r="F111" s="57"/>
      <c r="G111" s="57"/>
      <c r="H111" s="131"/>
      <c r="N111" s="53"/>
      <c r="P111" s="53"/>
      <c r="Q111" s="57"/>
      <c r="R111" s="57"/>
      <c r="S111" s="53"/>
      <c r="T111" s="53"/>
      <c r="U111" s="53"/>
      <c r="V111" s="53"/>
      <c r="W111" s="57"/>
      <c r="X111" s="53"/>
      <c r="Y111" s="53"/>
      <c r="Z111" s="763"/>
      <c r="AA111" s="53"/>
      <c r="AB111" s="53"/>
      <c r="AC111" s="53"/>
      <c r="AD111" s="53"/>
      <c r="AE111" s="53"/>
      <c r="AF111" s="56"/>
      <c r="AG111" s="54"/>
      <c r="AH111" s="54"/>
      <c r="AI111" s="54"/>
      <c r="AJ111" s="54"/>
      <c r="AK111" s="131">
        <v>11</v>
      </c>
    </row>
    <row r="112" s="131" customFormat="1" ht="11.5" customHeight="1">
      <c r="A112" s="762"/>
      <c r="B112" s="762"/>
      <c r="C112" s="762"/>
      <c r="D112" s="762"/>
      <c r="E112" s="762"/>
      <c r="F112" s="57"/>
      <c r="G112" s="57"/>
      <c r="H112" s="131"/>
      <c r="N112" s="53"/>
      <c r="P112" s="53"/>
      <c r="Q112" s="57"/>
      <c r="R112" s="57"/>
      <c r="S112" s="53"/>
      <c r="T112" s="53"/>
      <c r="U112" s="53"/>
      <c r="V112" s="53"/>
      <c r="W112" s="57"/>
      <c r="X112" s="53"/>
      <c r="Y112" s="53"/>
      <c r="Z112" s="763"/>
      <c r="AA112" s="53"/>
      <c r="AB112" s="53"/>
      <c r="AC112" s="53"/>
      <c r="AD112" s="53"/>
      <c r="AE112" s="53"/>
      <c r="AF112" s="56"/>
      <c r="AG112" s="54"/>
      <c r="AH112" s="54"/>
      <c r="AI112" s="54"/>
      <c r="AJ112" s="54"/>
      <c r="AK112" s="131">
        <v>11</v>
      </c>
    </row>
    <row r="113" s="131" customFormat="1" ht="11.5" customHeight="1">
      <c r="A113" s="762"/>
      <c r="B113" s="762"/>
      <c r="C113" s="762"/>
      <c r="D113" s="762"/>
      <c r="E113" s="762"/>
      <c r="F113" s="57"/>
      <c r="G113" s="57"/>
      <c r="H113" s="131"/>
      <c r="N113" s="53"/>
      <c r="P113" s="53"/>
      <c r="Q113" s="57"/>
      <c r="R113" s="57"/>
      <c r="S113" s="53"/>
      <c r="T113" s="53"/>
      <c r="U113" s="53"/>
      <c r="V113" s="53"/>
      <c r="W113" s="57"/>
      <c r="X113" s="53"/>
      <c r="Y113" s="53"/>
      <c r="Z113" s="763"/>
      <c r="AA113" s="53"/>
      <c r="AB113" s="53"/>
      <c r="AC113" s="53"/>
      <c r="AD113" s="53"/>
      <c r="AE113" s="53"/>
      <c r="AF113" s="56"/>
      <c r="AG113" s="54"/>
      <c r="AH113" s="54"/>
      <c r="AI113" s="54"/>
      <c r="AJ113" s="54"/>
      <c r="AK113" s="131">
        <v>11</v>
      </c>
    </row>
    <row r="114" s="131" customFormat="1" ht="11.5" customHeight="1">
      <c r="A114" s="762"/>
      <c r="B114" s="762"/>
      <c r="C114" s="762"/>
      <c r="D114" s="762"/>
      <c r="E114" s="762"/>
      <c r="F114" s="57"/>
      <c r="G114" s="57"/>
      <c r="H114" s="131"/>
      <c r="N114" s="53"/>
      <c r="P114" s="53"/>
      <c r="Q114" s="57"/>
      <c r="R114" s="57"/>
      <c r="S114" s="53"/>
      <c r="T114" s="53"/>
      <c r="U114" s="53"/>
      <c r="V114" s="53"/>
      <c r="W114" s="57"/>
      <c r="X114" s="53"/>
      <c r="Y114" s="53"/>
      <c r="Z114" s="763"/>
      <c r="AA114" s="53"/>
      <c r="AB114" s="53"/>
      <c r="AC114" s="53"/>
      <c r="AD114" s="53"/>
      <c r="AE114" s="53"/>
      <c r="AF114" s="56"/>
      <c r="AG114" s="54"/>
      <c r="AH114" s="54"/>
      <c r="AI114" s="54"/>
      <c r="AJ114" s="54"/>
      <c r="AK114" s="131">
        <v>11</v>
      </c>
    </row>
    <row r="115" s="131" customFormat="1" ht="11.5" customHeight="1">
      <c r="A115" s="762"/>
      <c r="B115" s="762"/>
      <c r="C115" s="762"/>
      <c r="D115" s="762"/>
      <c r="E115" s="762"/>
      <c r="F115" s="57"/>
      <c r="G115" s="57"/>
      <c r="H115" s="131"/>
      <c r="N115" s="53"/>
      <c r="P115" s="53"/>
      <c r="Q115" s="57"/>
      <c r="R115" s="57"/>
      <c r="S115" s="53"/>
      <c r="T115" s="53"/>
      <c r="U115" s="53"/>
      <c r="V115" s="53"/>
      <c r="W115" s="57"/>
      <c r="X115" s="53"/>
      <c r="Y115" s="53"/>
      <c r="Z115" s="763"/>
      <c r="AA115" s="53"/>
      <c r="AB115" s="53"/>
      <c r="AC115" s="53"/>
      <c r="AD115" s="53"/>
      <c r="AE115" s="53"/>
      <c r="AF115" s="56"/>
      <c r="AG115" s="54"/>
      <c r="AH115" s="54"/>
      <c r="AI115" s="54"/>
      <c r="AJ115" s="54"/>
      <c r="AK115" s="131">
        <v>11</v>
      </c>
    </row>
    <row r="116" s="131" customFormat="1" ht="11.5" customHeight="1">
      <c r="A116" s="762"/>
      <c r="B116" s="762"/>
      <c r="C116" s="762"/>
      <c r="D116" s="762"/>
      <c r="E116" s="762"/>
      <c r="F116" s="57"/>
      <c r="G116" s="57"/>
      <c r="H116" s="131"/>
      <c r="N116" s="53"/>
      <c r="P116" s="53"/>
      <c r="Q116" s="57"/>
      <c r="R116" s="57"/>
      <c r="S116" s="53"/>
      <c r="T116" s="53"/>
      <c r="U116" s="53"/>
      <c r="V116" s="53"/>
      <c r="W116" s="57"/>
      <c r="X116" s="53"/>
      <c r="Y116" s="53"/>
      <c r="Z116" s="763"/>
      <c r="AA116" s="53"/>
      <c r="AB116" s="53"/>
      <c r="AC116" s="53"/>
      <c r="AD116" s="53"/>
      <c r="AE116" s="53"/>
      <c r="AF116" s="56"/>
      <c r="AG116" s="54"/>
      <c r="AH116" s="54"/>
      <c r="AI116" s="54"/>
      <c r="AJ116" s="54"/>
      <c r="AK116" s="131">
        <v>11</v>
      </c>
    </row>
    <row r="117" s="131" customFormat="1" ht="11.5" customHeight="1">
      <c r="A117" s="762"/>
      <c r="B117" s="762"/>
      <c r="C117" s="762"/>
      <c r="D117" s="762"/>
      <c r="E117" s="762"/>
      <c r="F117" s="57"/>
      <c r="G117" s="57"/>
      <c r="H117" s="131"/>
      <c r="N117" s="53"/>
      <c r="P117" s="53"/>
      <c r="Q117" s="57"/>
      <c r="R117" s="57"/>
      <c r="S117" s="53"/>
      <c r="T117" s="53"/>
      <c r="U117" s="53"/>
      <c r="V117" s="53"/>
      <c r="W117" s="57"/>
      <c r="X117" s="53"/>
      <c r="Y117" s="53"/>
      <c r="Z117" s="763"/>
      <c r="AA117" s="53"/>
      <c r="AB117" s="53"/>
      <c r="AC117" s="53"/>
      <c r="AD117" s="53"/>
      <c r="AE117" s="53"/>
      <c r="AF117" s="56"/>
      <c r="AG117" s="54"/>
      <c r="AH117" s="54"/>
      <c r="AI117" s="54"/>
      <c r="AJ117" s="54"/>
      <c r="AK117" s="131">
        <v>11</v>
      </c>
    </row>
    <row r="118" s="131" customFormat="1" ht="11.5" customHeight="1">
      <c r="A118" s="762"/>
      <c r="B118" s="762"/>
      <c r="C118" s="762"/>
      <c r="D118" s="762"/>
      <c r="E118" s="762"/>
      <c r="F118" s="57"/>
      <c r="G118" s="57"/>
      <c r="H118" s="131"/>
      <c r="N118" s="53"/>
      <c r="P118" s="53"/>
      <c r="Q118" s="57"/>
      <c r="R118" s="57"/>
      <c r="S118" s="53"/>
      <c r="T118" s="53"/>
      <c r="U118" s="53"/>
      <c r="V118" s="53"/>
      <c r="W118" s="57"/>
      <c r="X118" s="53"/>
      <c r="Y118" s="53"/>
      <c r="Z118" s="763"/>
      <c r="AA118" s="53"/>
      <c r="AB118" s="53"/>
      <c r="AC118" s="53"/>
      <c r="AD118" s="53"/>
      <c r="AE118" s="53"/>
      <c r="AF118" s="56"/>
      <c r="AG118" s="54"/>
      <c r="AH118" s="54"/>
      <c r="AI118" s="54"/>
      <c r="AJ118" s="54"/>
      <c r="AK118" s="131">
        <v>11</v>
      </c>
    </row>
    <row r="119" s="131" customFormat="1" ht="11.5" customHeight="1">
      <c r="A119" s="762"/>
      <c r="B119" s="762"/>
      <c r="C119" s="762"/>
      <c r="D119" s="762"/>
      <c r="E119" s="762"/>
      <c r="F119" s="57"/>
      <c r="G119" s="57"/>
      <c r="H119" s="131"/>
      <c r="N119" s="53"/>
      <c r="P119" s="53"/>
      <c r="Q119" s="57"/>
      <c r="R119" s="57"/>
      <c r="S119" s="53"/>
      <c r="T119" s="53"/>
      <c r="U119" s="53"/>
      <c r="V119" s="53"/>
      <c r="W119" s="57"/>
      <c r="X119" s="53"/>
      <c r="Y119" s="53"/>
      <c r="Z119" s="763"/>
      <c r="AA119" s="53"/>
      <c r="AB119" s="53"/>
      <c r="AC119" s="53"/>
      <c r="AD119" s="53"/>
      <c r="AE119" s="53"/>
      <c r="AF119" s="56"/>
      <c r="AG119" s="54"/>
      <c r="AH119" s="54"/>
      <c r="AI119" s="54"/>
      <c r="AJ119" s="54"/>
      <c r="AK119" s="131">
        <v>11</v>
      </c>
    </row>
    <row r="120" s="131" customFormat="1" ht="11.5" customHeight="1">
      <c r="A120" s="762"/>
      <c r="B120" s="762"/>
      <c r="C120" s="762"/>
      <c r="D120" s="762"/>
      <c r="E120" s="762"/>
      <c r="F120" s="57"/>
      <c r="G120" s="57"/>
      <c r="H120" s="131"/>
      <c r="N120" s="53"/>
      <c r="P120" s="53"/>
      <c r="Q120" s="57"/>
      <c r="R120" s="57"/>
      <c r="S120" s="53"/>
      <c r="T120" s="53"/>
      <c r="U120" s="53"/>
      <c r="V120" s="53"/>
      <c r="W120" s="57"/>
      <c r="X120" s="53"/>
      <c r="Y120" s="53"/>
      <c r="Z120" s="763"/>
      <c r="AA120" s="53"/>
      <c r="AB120" s="53"/>
      <c r="AC120" s="53"/>
      <c r="AD120" s="53"/>
      <c r="AE120" s="53"/>
      <c r="AF120" s="56"/>
      <c r="AG120" s="54"/>
      <c r="AH120" s="54"/>
      <c r="AI120" s="54"/>
      <c r="AJ120" s="54"/>
      <c r="AK120" s="131">
        <v>11</v>
      </c>
    </row>
    <row r="121" s="131" customFormat="1" ht="11.5" customHeight="1">
      <c r="A121" s="762"/>
      <c r="B121" s="762"/>
      <c r="C121" s="762"/>
      <c r="D121" s="762"/>
      <c r="E121" s="762"/>
      <c r="F121" s="57"/>
      <c r="G121" s="57"/>
      <c r="H121" s="131"/>
      <c r="N121" s="53"/>
      <c r="P121" s="53"/>
      <c r="Q121" s="57"/>
      <c r="R121" s="57"/>
      <c r="S121" s="53"/>
      <c r="T121" s="53"/>
      <c r="U121" s="53"/>
      <c r="V121" s="53"/>
      <c r="W121" s="57"/>
      <c r="X121" s="53"/>
      <c r="Y121" s="53"/>
      <c r="Z121" s="763"/>
      <c r="AA121" s="53"/>
      <c r="AB121" s="53"/>
      <c r="AC121" s="53"/>
      <c r="AD121" s="53"/>
      <c r="AE121" s="53"/>
      <c r="AF121" s="56"/>
      <c r="AG121" s="54"/>
      <c r="AH121" s="54"/>
      <c r="AI121" s="54"/>
      <c r="AJ121" s="54"/>
      <c r="AK121" s="131">
        <v>11</v>
      </c>
    </row>
    <row r="122" s="131" customFormat="1" ht="11.5" customHeight="1">
      <c r="A122" s="762"/>
      <c r="B122" s="762"/>
      <c r="C122" s="762"/>
      <c r="D122" s="762"/>
      <c r="E122" s="762"/>
      <c r="F122" s="57"/>
      <c r="G122" s="57"/>
      <c r="H122" s="131"/>
      <c r="N122" s="53"/>
      <c r="P122" s="53"/>
      <c r="Q122" s="57"/>
      <c r="R122" s="57"/>
      <c r="S122" s="53"/>
      <c r="T122" s="53"/>
      <c r="U122" s="53"/>
      <c r="V122" s="53"/>
      <c r="W122" s="57"/>
      <c r="X122" s="53"/>
      <c r="Y122" s="53"/>
      <c r="Z122" s="763"/>
      <c r="AA122" s="53"/>
      <c r="AB122" s="53"/>
      <c r="AC122" s="53"/>
      <c r="AD122" s="53"/>
      <c r="AE122" s="53"/>
      <c r="AF122" s="56"/>
      <c r="AG122" s="54"/>
      <c r="AH122" s="54"/>
      <c r="AI122" s="54"/>
      <c r="AJ122" s="54"/>
      <c r="AK122" s="131">
        <v>11</v>
      </c>
    </row>
    <row r="123" s="131" customFormat="1" ht="11.5" customHeight="1">
      <c r="A123" s="762"/>
      <c r="B123" s="762"/>
      <c r="C123" s="762"/>
      <c r="D123" s="762"/>
      <c r="E123" s="762"/>
      <c r="F123" s="57"/>
      <c r="G123" s="57"/>
      <c r="H123" s="131"/>
      <c r="N123" s="53"/>
      <c r="P123" s="53"/>
      <c r="Q123" s="57"/>
      <c r="R123" s="57"/>
      <c r="S123" s="53"/>
      <c r="T123" s="53"/>
      <c r="U123" s="53"/>
      <c r="V123" s="53"/>
      <c r="W123" s="57"/>
      <c r="X123" s="53"/>
      <c r="Y123" s="53"/>
      <c r="Z123" s="763"/>
      <c r="AA123" s="53"/>
      <c r="AB123" s="53"/>
      <c r="AC123" s="53"/>
      <c r="AD123" s="53"/>
      <c r="AE123" s="53"/>
      <c r="AF123" s="56"/>
      <c r="AG123" s="54"/>
      <c r="AH123" s="54"/>
      <c r="AI123" s="54"/>
      <c r="AJ123" s="54"/>
      <c r="AK123" s="131">
        <v>11</v>
      </c>
    </row>
    <row r="124" s="131" customFormat="1" ht="11.5" customHeight="1">
      <c r="A124" s="762"/>
      <c r="B124" s="762"/>
      <c r="C124" s="762"/>
      <c r="D124" s="762"/>
      <c r="E124" s="762"/>
      <c r="F124" s="57"/>
      <c r="G124" s="57"/>
      <c r="H124" s="131"/>
      <c r="N124" s="53"/>
      <c r="P124" s="53"/>
      <c r="Q124" s="57"/>
      <c r="R124" s="57"/>
      <c r="S124" s="53"/>
      <c r="T124" s="53"/>
      <c r="U124" s="53"/>
      <c r="V124" s="53"/>
      <c r="W124" s="57"/>
      <c r="X124" s="53"/>
      <c r="Y124" s="53"/>
      <c r="Z124" s="763"/>
      <c r="AA124" s="53"/>
      <c r="AB124" s="53"/>
      <c r="AC124" s="53"/>
      <c r="AD124" s="53"/>
      <c r="AE124" s="53"/>
      <c r="AF124" s="56"/>
      <c r="AG124" s="54"/>
      <c r="AH124" s="54"/>
      <c r="AI124" s="54"/>
      <c r="AJ124" s="54"/>
      <c r="AK124" s="131">
        <v>11</v>
      </c>
    </row>
    <row r="125" s="131" customFormat="1" ht="11.5" customHeight="1">
      <c r="A125" s="762"/>
      <c r="B125" s="762"/>
      <c r="C125" s="762"/>
      <c r="D125" s="762"/>
      <c r="E125" s="762"/>
      <c r="F125" s="57"/>
      <c r="G125" s="57"/>
      <c r="H125" s="131"/>
      <c r="N125" s="53"/>
      <c r="P125" s="53"/>
      <c r="Q125" s="57"/>
      <c r="R125" s="57"/>
      <c r="S125" s="53"/>
      <c r="T125" s="53"/>
      <c r="U125" s="53"/>
      <c r="V125" s="53"/>
      <c r="W125" s="57"/>
      <c r="X125" s="53"/>
      <c r="Y125" s="53"/>
      <c r="Z125" s="763"/>
      <c r="AA125" s="53"/>
      <c r="AB125" s="53"/>
      <c r="AC125" s="53"/>
      <c r="AD125" s="53"/>
      <c r="AE125" s="53"/>
      <c r="AF125" s="56"/>
      <c r="AG125" s="54"/>
      <c r="AH125" s="54"/>
      <c r="AI125" s="54"/>
      <c r="AJ125" s="54"/>
      <c r="AK125" s="131">
        <v>11</v>
      </c>
    </row>
    <row r="126" s="131" customFormat="1" ht="11.5" customHeight="1">
      <c r="A126" s="762"/>
      <c r="B126" s="762"/>
      <c r="C126" s="762"/>
      <c r="D126" s="762"/>
      <c r="E126" s="762"/>
      <c r="F126" s="57"/>
      <c r="G126" s="57"/>
      <c r="H126" s="131"/>
      <c r="N126" s="53"/>
      <c r="P126" s="53"/>
      <c r="Q126" s="57"/>
      <c r="R126" s="57"/>
      <c r="S126" s="53"/>
      <c r="T126" s="53"/>
      <c r="U126" s="53"/>
      <c r="V126" s="53"/>
      <c r="W126" s="57"/>
      <c r="X126" s="53"/>
      <c r="Y126" s="53"/>
      <c r="Z126" s="763"/>
      <c r="AA126" s="53"/>
      <c r="AB126" s="53"/>
      <c r="AC126" s="53"/>
      <c r="AD126" s="53"/>
      <c r="AE126" s="53"/>
      <c r="AF126" s="56"/>
      <c r="AG126" s="54"/>
      <c r="AH126" s="54"/>
      <c r="AI126" s="54"/>
      <c r="AJ126" s="54"/>
      <c r="AK126" s="131">
        <v>11</v>
      </c>
    </row>
    <row r="127" s="131" customFormat="1" ht="11.5" customHeight="1">
      <c r="A127" s="762"/>
      <c r="B127" s="762"/>
      <c r="C127" s="762"/>
      <c r="D127" s="762"/>
      <c r="E127" s="762"/>
      <c r="F127" s="57"/>
      <c r="G127" s="57"/>
      <c r="H127" s="131"/>
      <c r="N127" s="53"/>
      <c r="P127" s="53"/>
      <c r="Q127" s="57"/>
      <c r="R127" s="57"/>
      <c r="S127" s="53"/>
      <c r="T127" s="53"/>
      <c r="U127" s="53"/>
      <c r="V127" s="53"/>
      <c r="W127" s="57"/>
      <c r="X127" s="53"/>
      <c r="Y127" s="53"/>
      <c r="Z127" s="763"/>
      <c r="AA127" s="53"/>
      <c r="AB127" s="53"/>
      <c r="AC127" s="53"/>
      <c r="AD127" s="53"/>
      <c r="AE127" s="53"/>
      <c r="AF127" s="56"/>
      <c r="AG127" s="54"/>
      <c r="AH127" s="54"/>
      <c r="AI127" s="54"/>
      <c r="AJ127" s="54"/>
      <c r="AK127" s="131">
        <v>11</v>
      </c>
    </row>
    <row r="128" s="131" customFormat="1" ht="11.5" customHeight="1">
      <c r="A128" s="762"/>
      <c r="B128" s="762"/>
      <c r="C128" s="762"/>
      <c r="D128" s="762"/>
      <c r="E128" s="762"/>
      <c r="F128" s="57"/>
      <c r="G128" s="57"/>
      <c r="H128" s="131"/>
      <c r="N128" s="53"/>
      <c r="P128" s="53"/>
      <c r="Q128" s="57"/>
      <c r="R128" s="57"/>
      <c r="S128" s="53"/>
      <c r="T128" s="53"/>
      <c r="U128" s="53"/>
      <c r="V128" s="53"/>
      <c r="W128" s="57"/>
      <c r="X128" s="53"/>
      <c r="Y128" s="53"/>
      <c r="Z128" s="763"/>
      <c r="AA128" s="53"/>
      <c r="AB128" s="53"/>
      <c r="AC128" s="53"/>
      <c r="AD128" s="53"/>
      <c r="AE128" s="53"/>
      <c r="AF128" s="56"/>
      <c r="AG128" s="54"/>
      <c r="AH128" s="54"/>
      <c r="AI128" s="54"/>
      <c r="AJ128" s="54"/>
      <c r="AK128" s="131">
        <v>11</v>
      </c>
    </row>
    <row r="129" s="131" customFormat="1" ht="11.5" customHeight="1">
      <c r="A129" s="762"/>
      <c r="B129" s="762"/>
      <c r="C129" s="762"/>
      <c r="D129" s="762"/>
      <c r="E129" s="762"/>
      <c r="F129" s="57"/>
      <c r="G129" s="57"/>
      <c r="H129" s="131"/>
      <c r="N129" s="53"/>
      <c r="P129" s="53"/>
      <c r="Q129" s="57"/>
      <c r="R129" s="57"/>
      <c r="S129" s="53"/>
      <c r="T129" s="53"/>
      <c r="U129" s="53"/>
      <c r="V129" s="53"/>
      <c r="W129" s="57"/>
      <c r="X129" s="53"/>
      <c r="Y129" s="53"/>
      <c r="Z129" s="763"/>
      <c r="AA129" s="53"/>
      <c r="AB129" s="53"/>
      <c r="AC129" s="53"/>
      <c r="AD129" s="53"/>
      <c r="AE129" s="53"/>
      <c r="AF129" s="56"/>
      <c r="AG129" s="54"/>
      <c r="AH129" s="54"/>
      <c r="AI129" s="54"/>
      <c r="AJ129" s="54"/>
      <c r="AK129" s="131">
        <v>11</v>
      </c>
    </row>
    <row r="130" s="131" customFormat="1" ht="11.5" customHeight="1">
      <c r="A130" s="762"/>
      <c r="B130" s="762"/>
      <c r="C130" s="762"/>
      <c r="D130" s="762"/>
      <c r="E130" s="762"/>
      <c r="F130" s="57"/>
      <c r="G130" s="57"/>
      <c r="H130" s="131"/>
      <c r="N130" s="53"/>
      <c r="P130" s="53"/>
      <c r="Q130" s="57"/>
      <c r="R130" s="57"/>
      <c r="S130" s="53"/>
      <c r="T130" s="53"/>
      <c r="U130" s="53"/>
      <c r="V130" s="53"/>
      <c r="W130" s="57"/>
      <c r="X130" s="53"/>
      <c r="Y130" s="53"/>
      <c r="Z130" s="763"/>
      <c r="AA130" s="53"/>
      <c r="AB130" s="53"/>
      <c r="AC130" s="53"/>
      <c r="AD130" s="53"/>
      <c r="AE130" s="53"/>
      <c r="AF130" s="56"/>
      <c r="AG130" s="54"/>
      <c r="AH130" s="54"/>
      <c r="AI130" s="54"/>
      <c r="AJ130" s="54"/>
      <c r="AK130" s="131">
        <v>11</v>
      </c>
    </row>
    <row r="131" s="131" customFormat="1" ht="11.5" customHeight="1">
      <c r="A131" s="762"/>
      <c r="B131" s="762"/>
      <c r="C131" s="762"/>
      <c r="D131" s="762"/>
      <c r="E131" s="762"/>
      <c r="F131" s="57"/>
      <c r="G131" s="57"/>
      <c r="H131" s="131"/>
      <c r="N131" s="53"/>
      <c r="P131" s="53"/>
      <c r="Q131" s="57"/>
      <c r="R131" s="57"/>
      <c r="S131" s="53"/>
      <c r="T131" s="53"/>
      <c r="U131" s="53"/>
      <c r="V131" s="53"/>
      <c r="W131" s="57"/>
      <c r="X131" s="53"/>
      <c r="Y131" s="53"/>
      <c r="Z131" s="763"/>
      <c r="AA131" s="53"/>
      <c r="AB131" s="53"/>
      <c r="AC131" s="53"/>
      <c r="AD131" s="53"/>
      <c r="AE131" s="53"/>
      <c r="AF131" s="56"/>
      <c r="AG131" s="54"/>
      <c r="AH131" s="54"/>
      <c r="AI131" s="54"/>
      <c r="AJ131" s="54"/>
      <c r="AK131" s="131">
        <v>11</v>
      </c>
    </row>
    <row r="132" s="131" customFormat="1" ht="11.5" customHeight="1">
      <c r="A132" s="762"/>
      <c r="B132" s="762"/>
      <c r="C132" s="762"/>
      <c r="D132" s="762"/>
      <c r="E132" s="762"/>
      <c r="F132" s="57"/>
      <c r="G132" s="57"/>
      <c r="H132" s="131"/>
      <c r="N132" s="53"/>
      <c r="P132" s="53"/>
      <c r="Q132" s="57"/>
      <c r="R132" s="57"/>
      <c r="S132" s="53"/>
      <c r="T132" s="53"/>
      <c r="U132" s="53"/>
      <c r="V132" s="53"/>
      <c r="W132" s="57"/>
      <c r="X132" s="53"/>
      <c r="Y132" s="53"/>
      <c r="Z132" s="763"/>
      <c r="AA132" s="53"/>
      <c r="AB132" s="53"/>
      <c r="AC132" s="53"/>
      <c r="AD132" s="53"/>
      <c r="AE132" s="53"/>
      <c r="AF132" s="56"/>
      <c r="AG132" s="54"/>
      <c r="AH132" s="54"/>
      <c r="AI132" s="54"/>
      <c r="AJ132" s="54"/>
      <c r="AK132" s="131">
        <v>11</v>
      </c>
    </row>
    <row r="133" s="131" customFormat="1" ht="11.5" customHeight="1">
      <c r="A133" s="762"/>
      <c r="B133" s="762"/>
      <c r="C133" s="762"/>
      <c r="D133" s="762"/>
      <c r="E133" s="762"/>
      <c r="F133" s="57"/>
      <c r="G133" s="57"/>
      <c r="H133" s="131"/>
      <c r="N133" s="53"/>
      <c r="P133" s="53"/>
      <c r="Q133" s="57"/>
      <c r="R133" s="57"/>
      <c r="S133" s="53"/>
      <c r="T133" s="53"/>
      <c r="U133" s="53"/>
      <c r="V133" s="53"/>
      <c r="W133" s="57"/>
      <c r="X133" s="53"/>
      <c r="Y133" s="53"/>
      <c r="Z133" s="763"/>
      <c r="AA133" s="53"/>
      <c r="AB133" s="53"/>
      <c r="AC133" s="53"/>
      <c r="AD133" s="53"/>
      <c r="AE133" s="53"/>
      <c r="AF133" s="56"/>
      <c r="AG133" s="54"/>
      <c r="AH133" s="54"/>
      <c r="AI133" s="54"/>
      <c r="AJ133" s="54"/>
      <c r="AK133" s="131">
        <v>11</v>
      </c>
    </row>
    <row r="134" s="131" customFormat="1" ht="11.5" customHeight="1">
      <c r="A134" s="762"/>
      <c r="B134" s="762"/>
      <c r="C134" s="762"/>
      <c r="D134" s="762"/>
      <c r="E134" s="762"/>
      <c r="F134" s="57"/>
      <c r="G134" s="57"/>
      <c r="H134" s="131"/>
      <c r="N134" s="53"/>
      <c r="P134" s="53"/>
      <c r="Q134" s="57"/>
      <c r="R134" s="57"/>
      <c r="S134" s="53"/>
      <c r="T134" s="53"/>
      <c r="U134" s="53"/>
      <c r="V134" s="53"/>
      <c r="W134" s="57"/>
      <c r="X134" s="53"/>
      <c r="Y134" s="53"/>
      <c r="Z134" s="763"/>
      <c r="AA134" s="53"/>
      <c r="AB134" s="53"/>
      <c r="AC134" s="53"/>
      <c r="AD134" s="53"/>
      <c r="AE134" s="53"/>
      <c r="AF134" s="56"/>
      <c r="AG134" s="54"/>
      <c r="AH134" s="54"/>
      <c r="AI134" s="54"/>
      <c r="AJ134" s="54"/>
      <c r="AK134" s="131">
        <v>11</v>
      </c>
    </row>
    <row r="135" s="131" customFormat="1" ht="11.5" customHeight="1">
      <c r="A135" s="762"/>
      <c r="B135" s="762"/>
      <c r="C135" s="762"/>
      <c r="D135" s="762"/>
      <c r="E135" s="762"/>
      <c r="F135" s="57"/>
      <c r="G135" s="57"/>
      <c r="H135" s="131"/>
      <c r="N135" s="53"/>
      <c r="P135" s="53"/>
      <c r="Q135" s="57"/>
      <c r="R135" s="57"/>
      <c r="S135" s="53"/>
      <c r="T135" s="53"/>
      <c r="U135" s="53"/>
      <c r="V135" s="53"/>
      <c r="W135" s="57"/>
      <c r="X135" s="53"/>
      <c r="Y135" s="53"/>
      <c r="Z135" s="763"/>
      <c r="AA135" s="53"/>
      <c r="AB135" s="53"/>
      <c r="AC135" s="53"/>
      <c r="AD135" s="53"/>
      <c r="AE135" s="53"/>
      <c r="AF135" s="56"/>
      <c r="AG135" s="54"/>
      <c r="AH135" s="54"/>
      <c r="AI135" s="54"/>
      <c r="AJ135" s="54"/>
      <c r="AK135" s="131">
        <v>11</v>
      </c>
    </row>
    <row r="136" s="131" customFormat="1" ht="11.5" customHeight="1">
      <c r="A136" s="762"/>
      <c r="B136" s="762"/>
      <c r="C136" s="762"/>
      <c r="D136" s="762"/>
      <c r="E136" s="762"/>
      <c r="F136" s="57"/>
      <c r="G136" s="57"/>
      <c r="H136" s="131"/>
      <c r="N136" s="53"/>
      <c r="P136" s="53"/>
      <c r="Q136" s="57"/>
      <c r="R136" s="57"/>
      <c r="S136" s="53"/>
      <c r="T136" s="53"/>
      <c r="U136" s="53"/>
      <c r="V136" s="53"/>
      <c r="W136" s="57"/>
      <c r="X136" s="53"/>
      <c r="Y136" s="53"/>
      <c r="Z136" s="763"/>
      <c r="AA136" s="53"/>
      <c r="AB136" s="53"/>
      <c r="AC136" s="53"/>
      <c r="AD136" s="53"/>
      <c r="AE136" s="53"/>
      <c r="AF136" s="56"/>
      <c r="AG136" s="54"/>
      <c r="AH136" s="54"/>
      <c r="AI136" s="54"/>
      <c r="AJ136" s="54"/>
      <c r="AK136" s="131">
        <v>11</v>
      </c>
    </row>
    <row r="137" s="131" customFormat="1" ht="11.5" customHeight="1">
      <c r="A137" s="762"/>
      <c r="B137" s="762"/>
      <c r="C137" s="762"/>
      <c r="D137" s="762"/>
      <c r="E137" s="762"/>
      <c r="F137" s="57"/>
      <c r="G137" s="57"/>
      <c r="H137" s="131"/>
      <c r="N137" s="53"/>
      <c r="P137" s="53"/>
      <c r="Q137" s="57"/>
      <c r="R137" s="57"/>
      <c r="S137" s="53"/>
      <c r="T137" s="53"/>
      <c r="U137" s="53"/>
      <c r="V137" s="53"/>
      <c r="W137" s="57"/>
      <c r="X137" s="53"/>
      <c r="Y137" s="53"/>
      <c r="Z137" s="763"/>
      <c r="AA137" s="53"/>
      <c r="AB137" s="53"/>
      <c r="AC137" s="53"/>
      <c r="AD137" s="53"/>
      <c r="AE137" s="53"/>
      <c r="AF137" s="56"/>
      <c r="AG137" s="54"/>
      <c r="AH137" s="54"/>
      <c r="AI137" s="54"/>
      <c r="AJ137" s="54"/>
      <c r="AK137" s="131">
        <v>11</v>
      </c>
    </row>
    <row r="138" s="131" customFormat="1" ht="11.5" customHeight="1">
      <c r="A138" s="762"/>
      <c r="B138" s="762"/>
      <c r="C138" s="762"/>
      <c r="D138" s="762"/>
      <c r="E138" s="762"/>
      <c r="F138" s="57"/>
      <c r="G138" s="57"/>
      <c r="H138" s="131"/>
      <c r="N138" s="53"/>
      <c r="P138" s="53"/>
      <c r="Q138" s="57"/>
      <c r="R138" s="57"/>
      <c r="S138" s="53"/>
      <c r="T138" s="53"/>
      <c r="U138" s="53"/>
      <c r="V138" s="53"/>
      <c r="W138" s="57"/>
      <c r="X138" s="53"/>
      <c r="Y138" s="53"/>
      <c r="Z138" s="763"/>
      <c r="AA138" s="53"/>
      <c r="AB138" s="53"/>
      <c r="AC138" s="53"/>
      <c r="AD138" s="53"/>
      <c r="AE138" s="53"/>
      <c r="AF138" s="56"/>
      <c r="AG138" s="54"/>
      <c r="AH138" s="54"/>
      <c r="AI138" s="54"/>
      <c r="AJ138" s="54"/>
      <c r="AK138" s="131">
        <v>11</v>
      </c>
    </row>
    <row r="139" s="131" customFormat="1" ht="11.5" customHeight="1">
      <c r="A139" s="762"/>
      <c r="B139" s="762"/>
      <c r="C139" s="762"/>
      <c r="D139" s="762"/>
      <c r="E139" s="762"/>
      <c r="F139" s="57"/>
      <c r="G139" s="57"/>
      <c r="H139" s="131"/>
      <c r="N139" s="53"/>
      <c r="P139" s="53"/>
      <c r="Q139" s="57"/>
      <c r="R139" s="57"/>
      <c r="S139" s="53"/>
      <c r="T139" s="53"/>
      <c r="U139" s="53"/>
      <c r="V139" s="53"/>
      <c r="W139" s="57"/>
      <c r="X139" s="53"/>
      <c r="Y139" s="53"/>
      <c r="Z139" s="763"/>
      <c r="AA139" s="53"/>
      <c r="AB139" s="53"/>
      <c r="AC139" s="53"/>
      <c r="AD139" s="53"/>
      <c r="AE139" s="53"/>
      <c r="AF139" s="56"/>
      <c r="AG139" s="54"/>
      <c r="AH139" s="54"/>
      <c r="AI139" s="54"/>
      <c r="AJ139" s="54"/>
      <c r="AK139" s="131">
        <v>11</v>
      </c>
    </row>
    <row r="140" s="131" customFormat="1" ht="11.5" customHeight="1">
      <c r="A140" s="762"/>
      <c r="B140" s="762"/>
      <c r="C140" s="762"/>
      <c r="D140" s="762"/>
      <c r="E140" s="762"/>
      <c r="F140" s="57"/>
      <c r="G140" s="57"/>
      <c r="H140" s="131"/>
      <c r="N140" s="53"/>
      <c r="P140" s="53"/>
      <c r="Q140" s="57"/>
      <c r="R140" s="57"/>
      <c r="S140" s="53"/>
      <c r="T140" s="53"/>
      <c r="U140" s="53"/>
      <c r="V140" s="53"/>
      <c r="W140" s="57"/>
      <c r="X140" s="53"/>
      <c r="Y140" s="53"/>
      <c r="Z140" s="763"/>
      <c r="AA140" s="53"/>
      <c r="AB140" s="53"/>
      <c r="AC140" s="53"/>
      <c r="AD140" s="53"/>
      <c r="AE140" s="53"/>
      <c r="AF140" s="56"/>
      <c r="AG140" s="54"/>
      <c r="AH140" s="54"/>
      <c r="AI140" s="54"/>
      <c r="AJ140" s="54"/>
      <c r="AK140" s="131">
        <v>11</v>
      </c>
    </row>
    <row r="141" s="131" customFormat="1" ht="11.5" customHeight="1">
      <c r="A141" s="762"/>
      <c r="B141" s="762"/>
      <c r="C141" s="762"/>
      <c r="D141" s="762"/>
      <c r="E141" s="762"/>
      <c r="F141" s="57"/>
      <c r="G141" s="57"/>
      <c r="H141" s="131"/>
      <c r="N141" s="53"/>
      <c r="P141" s="53"/>
      <c r="Q141" s="57"/>
      <c r="R141" s="57"/>
      <c r="S141" s="53"/>
      <c r="T141" s="53"/>
      <c r="U141" s="53"/>
      <c r="V141" s="53"/>
      <c r="W141" s="57"/>
      <c r="X141" s="53"/>
      <c r="Y141" s="53"/>
      <c r="Z141" s="763"/>
      <c r="AA141" s="53"/>
      <c r="AB141" s="53"/>
      <c r="AC141" s="53"/>
      <c r="AD141" s="53"/>
      <c r="AE141" s="53"/>
      <c r="AF141" s="56"/>
      <c r="AG141" s="54"/>
      <c r="AH141" s="54"/>
      <c r="AI141" s="54"/>
      <c r="AJ141" s="54"/>
      <c r="AK141" s="131">
        <v>11</v>
      </c>
    </row>
    <row r="142" s="131" customFormat="1" ht="11.5" customHeight="1">
      <c r="A142" s="762"/>
      <c r="B142" s="762"/>
      <c r="C142" s="762"/>
      <c r="D142" s="762"/>
      <c r="E142" s="762"/>
      <c r="F142" s="57"/>
      <c r="G142" s="57"/>
      <c r="H142" s="131"/>
      <c r="N142" s="53"/>
      <c r="P142" s="53"/>
      <c r="Q142" s="57"/>
      <c r="R142" s="57"/>
      <c r="S142" s="53"/>
      <c r="T142" s="53"/>
      <c r="U142" s="53"/>
      <c r="V142" s="53"/>
      <c r="W142" s="57"/>
      <c r="X142" s="53"/>
      <c r="Y142" s="53"/>
      <c r="Z142" s="763"/>
      <c r="AA142" s="53"/>
      <c r="AB142" s="53"/>
      <c r="AC142" s="53"/>
      <c r="AD142" s="53"/>
      <c r="AE142" s="53"/>
      <c r="AF142" s="56"/>
      <c r="AG142" s="54"/>
      <c r="AH142" s="54"/>
      <c r="AI142" s="54"/>
      <c r="AJ142" s="54"/>
      <c r="AK142" s="131">
        <v>11</v>
      </c>
    </row>
    <row r="143" s="131" customFormat="1" ht="11.5" customHeight="1">
      <c r="A143" s="762"/>
      <c r="B143" s="762"/>
      <c r="C143" s="762"/>
      <c r="D143" s="762"/>
      <c r="E143" s="762"/>
      <c r="F143" s="57"/>
      <c r="G143" s="57"/>
      <c r="H143" s="131"/>
      <c r="N143" s="53"/>
      <c r="P143" s="53"/>
      <c r="Q143" s="57"/>
      <c r="R143" s="57"/>
      <c r="S143" s="53"/>
      <c r="T143" s="53"/>
      <c r="U143" s="53"/>
      <c r="V143" s="53"/>
      <c r="W143" s="57"/>
      <c r="X143" s="53"/>
      <c r="Y143" s="53"/>
      <c r="Z143" s="763"/>
      <c r="AA143" s="53"/>
      <c r="AB143" s="53"/>
      <c r="AC143" s="53"/>
      <c r="AD143" s="53"/>
      <c r="AE143" s="53"/>
      <c r="AF143" s="56"/>
      <c r="AG143" s="54"/>
      <c r="AH143" s="54"/>
      <c r="AI143" s="54"/>
      <c r="AJ143" s="54"/>
      <c r="AK143" s="131">
        <v>11</v>
      </c>
    </row>
    <row r="144" s="131" customFormat="1" ht="11.5" customHeight="1">
      <c r="A144" s="762"/>
      <c r="B144" s="762"/>
      <c r="C144" s="762"/>
      <c r="D144" s="762"/>
      <c r="E144" s="762"/>
      <c r="F144" s="57"/>
      <c r="G144" s="57"/>
      <c r="H144" s="131"/>
      <c r="N144" s="53"/>
      <c r="P144" s="53"/>
      <c r="Q144" s="57"/>
      <c r="R144" s="57"/>
      <c r="S144" s="53"/>
      <c r="T144" s="53"/>
      <c r="U144" s="53"/>
      <c r="V144" s="53"/>
      <c r="W144" s="57"/>
      <c r="X144" s="53"/>
      <c r="Y144" s="53"/>
      <c r="Z144" s="763"/>
      <c r="AA144" s="53"/>
      <c r="AB144" s="53"/>
      <c r="AC144" s="53"/>
      <c r="AD144" s="53"/>
      <c r="AE144" s="53"/>
      <c r="AF144" s="56"/>
      <c r="AG144" s="54"/>
      <c r="AH144" s="54"/>
      <c r="AI144" s="54"/>
      <c r="AJ144" s="54"/>
      <c r="AK144" s="131">
        <v>11</v>
      </c>
    </row>
    <row r="145" s="131" customFormat="1" ht="11.5" customHeight="1">
      <c r="A145" s="762"/>
      <c r="B145" s="762"/>
      <c r="C145" s="762"/>
      <c r="D145" s="762"/>
      <c r="E145" s="762"/>
      <c r="F145" s="57"/>
      <c r="G145" s="57"/>
      <c r="H145" s="131"/>
      <c r="N145" s="53"/>
      <c r="P145" s="53"/>
      <c r="Q145" s="57"/>
      <c r="R145" s="57"/>
      <c r="S145" s="53"/>
      <c r="T145" s="53"/>
      <c r="U145" s="53"/>
      <c r="V145" s="53"/>
      <c r="W145" s="57"/>
      <c r="X145" s="53"/>
      <c r="Y145" s="53"/>
      <c r="Z145" s="763"/>
      <c r="AA145" s="53"/>
      <c r="AB145" s="53"/>
      <c r="AC145" s="53"/>
      <c r="AD145" s="53"/>
      <c r="AE145" s="53"/>
      <c r="AF145" s="56"/>
      <c r="AG145" s="54"/>
      <c r="AH145" s="54"/>
      <c r="AI145" s="54"/>
      <c r="AJ145" s="54"/>
      <c r="AK145" s="131">
        <v>11</v>
      </c>
    </row>
    <row r="146" s="131" customFormat="1" ht="11.5" customHeight="1">
      <c r="A146" s="762"/>
      <c r="B146" s="762"/>
      <c r="C146" s="762"/>
      <c r="D146" s="762"/>
      <c r="E146" s="762"/>
      <c r="F146" s="57"/>
      <c r="G146" s="57"/>
      <c r="H146" s="131"/>
      <c r="N146" s="53"/>
      <c r="P146" s="53"/>
      <c r="Q146" s="57"/>
      <c r="R146" s="57"/>
      <c r="S146" s="53"/>
      <c r="T146" s="53"/>
      <c r="U146" s="53"/>
      <c r="V146" s="53"/>
      <c r="W146" s="57"/>
      <c r="X146" s="53"/>
      <c r="Y146" s="53"/>
      <c r="Z146" s="763"/>
      <c r="AA146" s="53"/>
      <c r="AB146" s="53"/>
      <c r="AC146" s="53"/>
      <c r="AD146" s="53"/>
      <c r="AE146" s="53"/>
      <c r="AF146" s="56"/>
      <c r="AG146" s="54"/>
      <c r="AH146" s="54"/>
      <c r="AI146" s="54"/>
      <c r="AJ146" s="54"/>
      <c r="AK146" s="131">
        <v>11</v>
      </c>
    </row>
    <row r="147" s="131" customFormat="1" ht="11.5" customHeight="1">
      <c r="A147" s="762"/>
      <c r="B147" s="762"/>
      <c r="C147" s="762"/>
      <c r="D147" s="762"/>
      <c r="E147" s="762"/>
      <c r="F147" s="57"/>
      <c r="G147" s="57"/>
      <c r="H147" s="131"/>
      <c r="N147" s="53"/>
      <c r="P147" s="53"/>
      <c r="Q147" s="57"/>
      <c r="R147" s="57"/>
      <c r="S147" s="53"/>
      <c r="T147" s="53"/>
      <c r="U147" s="53"/>
      <c r="V147" s="53"/>
      <c r="W147" s="57"/>
      <c r="X147" s="53"/>
      <c r="Y147" s="53"/>
      <c r="Z147" s="763"/>
      <c r="AA147" s="53"/>
      <c r="AB147" s="53"/>
      <c r="AC147" s="53"/>
      <c r="AD147" s="53"/>
      <c r="AE147" s="53"/>
      <c r="AF147" s="56"/>
      <c r="AG147" s="54"/>
      <c r="AH147" s="54"/>
      <c r="AI147" s="54"/>
      <c r="AJ147" s="54"/>
      <c r="AK147" s="131">
        <v>11</v>
      </c>
    </row>
    <row r="148" s="131" customFormat="1" ht="11.5" customHeight="1">
      <c r="A148" s="762"/>
      <c r="B148" s="762"/>
      <c r="C148" s="762"/>
      <c r="D148" s="762"/>
      <c r="E148" s="762"/>
      <c r="F148" s="57"/>
      <c r="G148" s="57"/>
      <c r="H148" s="131"/>
      <c r="N148" s="53"/>
      <c r="P148" s="53"/>
      <c r="Q148" s="57"/>
      <c r="R148" s="57"/>
      <c r="S148" s="53"/>
      <c r="T148" s="53"/>
      <c r="U148" s="53"/>
      <c r="V148" s="53"/>
      <c r="W148" s="57"/>
      <c r="X148" s="53"/>
      <c r="Y148" s="53"/>
      <c r="Z148" s="763"/>
      <c r="AA148" s="53"/>
      <c r="AB148" s="53"/>
      <c r="AC148" s="53"/>
      <c r="AD148" s="53"/>
      <c r="AE148" s="53"/>
      <c r="AF148" s="56"/>
      <c r="AG148" s="54"/>
      <c r="AH148" s="54"/>
      <c r="AI148" s="54"/>
      <c r="AJ148" s="54"/>
      <c r="AK148" s="131">
        <v>11</v>
      </c>
    </row>
    <row r="149" s="131" customFormat="1" ht="11.5" customHeight="1">
      <c r="A149" s="762"/>
      <c r="B149" s="762"/>
      <c r="C149" s="762"/>
      <c r="D149" s="762"/>
      <c r="E149" s="762"/>
      <c r="F149" s="57"/>
      <c r="G149" s="57"/>
      <c r="H149" s="131"/>
      <c r="N149" s="53"/>
      <c r="P149" s="53"/>
      <c r="Q149" s="57"/>
      <c r="R149" s="57"/>
      <c r="S149" s="53"/>
      <c r="T149" s="53"/>
      <c r="U149" s="53"/>
      <c r="V149" s="53"/>
      <c r="W149" s="57"/>
      <c r="X149" s="53"/>
      <c r="Y149" s="53"/>
      <c r="Z149" s="763"/>
      <c r="AA149" s="53"/>
      <c r="AB149" s="53"/>
      <c r="AC149" s="53"/>
      <c r="AD149" s="53"/>
      <c r="AE149" s="53"/>
      <c r="AF149" s="56"/>
      <c r="AG149" s="54"/>
      <c r="AH149" s="54"/>
      <c r="AI149" s="54"/>
      <c r="AJ149" s="54"/>
      <c r="AK149" s="131">
        <v>11</v>
      </c>
    </row>
    <row r="150" s="131" customFormat="1" ht="11.5" customHeight="1">
      <c r="A150" s="762"/>
      <c r="B150" s="762"/>
      <c r="C150" s="762"/>
      <c r="D150" s="762"/>
      <c r="E150" s="762"/>
      <c r="F150" s="57"/>
      <c r="G150" s="57"/>
      <c r="H150" s="131"/>
      <c r="N150" s="53"/>
      <c r="P150" s="53"/>
      <c r="Q150" s="57"/>
      <c r="R150" s="57"/>
      <c r="S150" s="53"/>
      <c r="T150" s="53"/>
      <c r="U150" s="53"/>
      <c r="V150" s="53"/>
      <c r="W150" s="57"/>
      <c r="X150" s="53"/>
      <c r="Y150" s="53"/>
      <c r="Z150" s="763"/>
      <c r="AA150" s="53"/>
      <c r="AB150" s="53"/>
      <c r="AC150" s="53"/>
      <c r="AD150" s="53"/>
      <c r="AE150" s="53"/>
      <c r="AF150" s="56"/>
      <c r="AG150" s="54"/>
      <c r="AH150" s="54"/>
      <c r="AI150" s="54"/>
      <c r="AJ150" s="54"/>
      <c r="AK150" s="131">
        <v>11</v>
      </c>
    </row>
    <row r="151" s="131" customFormat="1" ht="11.5" customHeight="1">
      <c r="A151" s="762"/>
      <c r="B151" s="762"/>
      <c r="C151" s="762"/>
      <c r="D151" s="762"/>
      <c r="E151" s="762"/>
      <c r="F151" s="57"/>
      <c r="G151" s="57"/>
      <c r="H151" s="131"/>
      <c r="N151" s="53"/>
      <c r="P151" s="53"/>
      <c r="Q151" s="57"/>
      <c r="R151" s="57"/>
      <c r="S151" s="53"/>
      <c r="T151" s="53"/>
      <c r="U151" s="53"/>
      <c r="V151" s="53"/>
      <c r="W151" s="57"/>
      <c r="X151" s="53"/>
      <c r="Y151" s="53"/>
      <c r="Z151" s="763"/>
      <c r="AA151" s="53"/>
      <c r="AB151" s="53"/>
      <c r="AC151" s="53"/>
      <c r="AD151" s="53"/>
      <c r="AE151" s="53"/>
      <c r="AF151" s="56"/>
      <c r="AG151" s="54"/>
      <c r="AH151" s="54"/>
      <c r="AI151" s="54"/>
      <c r="AJ151" s="54"/>
      <c r="AK151" s="131">
        <v>11</v>
      </c>
    </row>
    <row r="152" s="131" customFormat="1" ht="11.5" customHeight="1">
      <c r="A152" s="762"/>
      <c r="B152" s="762"/>
      <c r="C152" s="762"/>
      <c r="D152" s="762"/>
      <c r="E152" s="762"/>
      <c r="F152" s="57"/>
      <c r="G152" s="57"/>
      <c r="H152" s="131"/>
      <c r="N152" s="53"/>
      <c r="P152" s="53"/>
      <c r="Q152" s="57"/>
      <c r="R152" s="57"/>
      <c r="S152" s="53"/>
      <c r="T152" s="53"/>
      <c r="U152" s="53"/>
      <c r="V152" s="53"/>
      <c r="W152" s="57"/>
      <c r="X152" s="53"/>
      <c r="Y152" s="53"/>
      <c r="Z152" s="763"/>
      <c r="AA152" s="53"/>
      <c r="AB152" s="53"/>
      <c r="AC152" s="53"/>
      <c r="AD152" s="53"/>
      <c r="AE152" s="53"/>
      <c r="AF152" s="56"/>
      <c r="AG152" s="54"/>
      <c r="AH152" s="54"/>
      <c r="AI152" s="54"/>
      <c r="AJ152" s="54"/>
      <c r="AK152" s="131">
        <v>11</v>
      </c>
    </row>
    <row r="153" s="131" customFormat="1" ht="11.5" customHeight="1">
      <c r="A153" s="762"/>
      <c r="B153" s="762"/>
      <c r="C153" s="762"/>
      <c r="D153" s="762"/>
      <c r="E153" s="762"/>
      <c r="F153" s="57"/>
      <c r="G153" s="57"/>
      <c r="H153" s="131"/>
      <c r="N153" s="53"/>
      <c r="P153" s="53"/>
      <c r="Q153" s="57"/>
      <c r="R153" s="57"/>
      <c r="S153" s="53"/>
      <c r="T153" s="53"/>
      <c r="U153" s="53"/>
      <c r="V153" s="53"/>
      <c r="W153" s="57"/>
      <c r="X153" s="53"/>
      <c r="Y153" s="53"/>
      <c r="Z153" s="763"/>
      <c r="AA153" s="53"/>
      <c r="AB153" s="53"/>
      <c r="AC153" s="53"/>
      <c r="AD153" s="53"/>
      <c r="AE153" s="53"/>
      <c r="AF153" s="56"/>
      <c r="AG153" s="54"/>
      <c r="AH153" s="54"/>
      <c r="AI153" s="54"/>
      <c r="AJ153" s="54"/>
      <c r="AK153" s="131">
        <v>11</v>
      </c>
    </row>
    <row r="154" s="131" customFormat="1" ht="11.5" customHeight="1">
      <c r="A154" s="762"/>
      <c r="B154" s="762"/>
      <c r="C154" s="762"/>
      <c r="D154" s="762"/>
      <c r="E154" s="762"/>
      <c r="F154" s="57"/>
      <c r="G154" s="57"/>
      <c r="H154" s="131"/>
      <c r="N154" s="53"/>
      <c r="P154" s="53"/>
      <c r="Q154" s="57"/>
      <c r="R154" s="57"/>
      <c r="S154" s="53"/>
      <c r="T154" s="53"/>
      <c r="U154" s="53"/>
      <c r="V154" s="53"/>
      <c r="W154" s="57"/>
      <c r="X154" s="53"/>
      <c r="Y154" s="53"/>
      <c r="Z154" s="763"/>
      <c r="AA154" s="53"/>
      <c r="AB154" s="53"/>
      <c r="AC154" s="53"/>
      <c r="AD154" s="53"/>
      <c r="AE154" s="53"/>
      <c r="AF154" s="56"/>
      <c r="AG154" s="54"/>
      <c r="AH154" s="54"/>
      <c r="AI154" s="54"/>
      <c r="AJ154" s="54"/>
      <c r="AK154" s="131">
        <v>11</v>
      </c>
    </row>
    <row r="155" s="131" customFormat="1" ht="11.5" customHeight="1">
      <c r="A155" s="762"/>
      <c r="B155" s="762"/>
      <c r="C155" s="762"/>
      <c r="D155" s="762"/>
      <c r="E155" s="762"/>
      <c r="F155" s="57"/>
      <c r="G155" s="57"/>
      <c r="H155" s="131"/>
      <c r="N155" s="53"/>
      <c r="P155" s="53"/>
      <c r="Q155" s="57"/>
      <c r="R155" s="57"/>
      <c r="S155" s="53"/>
      <c r="T155" s="53"/>
      <c r="U155" s="53"/>
      <c r="V155" s="53"/>
      <c r="W155" s="57"/>
      <c r="X155" s="53"/>
      <c r="Y155" s="53"/>
      <c r="Z155" s="763"/>
      <c r="AA155" s="53"/>
      <c r="AB155" s="53"/>
      <c r="AC155" s="53"/>
      <c r="AD155" s="53"/>
      <c r="AE155" s="53"/>
      <c r="AF155" s="56"/>
      <c r="AG155" s="54"/>
      <c r="AH155" s="54"/>
      <c r="AI155" s="54"/>
      <c r="AJ155" s="54"/>
      <c r="AK155" s="131">
        <v>11</v>
      </c>
    </row>
    <row r="156" s="131" customFormat="1" ht="11.5" customHeight="1">
      <c r="A156" s="762"/>
      <c r="B156" s="762"/>
      <c r="C156" s="762"/>
      <c r="D156" s="762"/>
      <c r="E156" s="762"/>
      <c r="F156" s="57"/>
      <c r="G156" s="57"/>
      <c r="H156" s="131"/>
      <c r="N156" s="53"/>
      <c r="P156" s="53"/>
      <c r="Q156" s="57"/>
      <c r="R156" s="57"/>
      <c r="S156" s="53"/>
      <c r="T156" s="53"/>
      <c r="U156" s="53"/>
      <c r="V156" s="53"/>
      <c r="W156" s="57"/>
      <c r="X156" s="53"/>
      <c r="Y156" s="53"/>
      <c r="Z156" s="763"/>
      <c r="AA156" s="53"/>
      <c r="AB156" s="53"/>
      <c r="AC156" s="53"/>
      <c r="AD156" s="53"/>
      <c r="AE156" s="53"/>
      <c r="AF156" s="56"/>
      <c r="AG156" s="54"/>
      <c r="AH156" s="54"/>
      <c r="AI156" s="54"/>
      <c r="AJ156" s="54"/>
      <c r="AK156" s="131">
        <v>11</v>
      </c>
    </row>
    <row r="157" s="131" customFormat="1" ht="11.5" customHeight="1">
      <c r="A157" s="762"/>
      <c r="B157" s="762"/>
      <c r="C157" s="762"/>
      <c r="D157" s="762"/>
      <c r="E157" s="762"/>
      <c r="F157" s="57"/>
      <c r="G157" s="57"/>
      <c r="H157" s="131"/>
      <c r="N157" s="53"/>
      <c r="P157" s="53"/>
      <c r="Q157" s="57"/>
      <c r="R157" s="57"/>
      <c r="S157" s="53"/>
      <c r="T157" s="53"/>
      <c r="U157" s="53"/>
      <c r="V157" s="53"/>
      <c r="W157" s="57"/>
      <c r="X157" s="53"/>
      <c r="Y157" s="53"/>
      <c r="Z157" s="763"/>
      <c r="AA157" s="53"/>
      <c r="AB157" s="53"/>
      <c r="AC157" s="53"/>
      <c r="AD157" s="53"/>
      <c r="AE157" s="53"/>
      <c r="AF157" s="56"/>
      <c r="AG157" s="54"/>
      <c r="AH157" s="54"/>
      <c r="AI157" s="54"/>
      <c r="AJ157" s="54"/>
      <c r="AK157" s="131">
        <v>11</v>
      </c>
    </row>
    <row r="158" s="131" customFormat="1" ht="11.5" customHeight="1">
      <c r="A158" s="762"/>
      <c r="B158" s="762"/>
      <c r="C158" s="762"/>
      <c r="D158" s="762"/>
      <c r="E158" s="762"/>
      <c r="F158" s="57"/>
      <c r="G158" s="57"/>
      <c r="H158" s="131"/>
      <c r="N158" s="53"/>
      <c r="P158" s="53"/>
      <c r="Q158" s="57"/>
      <c r="R158" s="57"/>
      <c r="S158" s="53"/>
      <c r="T158" s="53"/>
      <c r="U158" s="53"/>
      <c r="V158" s="53"/>
      <c r="W158" s="57"/>
      <c r="X158" s="53"/>
      <c r="Y158" s="53"/>
      <c r="Z158" s="763"/>
      <c r="AA158" s="53"/>
      <c r="AB158" s="53"/>
      <c r="AC158" s="53"/>
      <c r="AD158" s="53"/>
      <c r="AE158" s="53"/>
      <c r="AF158" s="56"/>
      <c r="AG158" s="54"/>
      <c r="AH158" s="54"/>
      <c r="AI158" s="54"/>
      <c r="AJ158" s="54"/>
      <c r="AK158" s="131">
        <v>11</v>
      </c>
    </row>
    <row r="159" s="131" customFormat="1" ht="11.5" customHeight="1">
      <c r="A159" s="762"/>
      <c r="B159" s="762"/>
      <c r="C159" s="762"/>
      <c r="D159" s="762"/>
      <c r="E159" s="762"/>
      <c r="F159" s="57"/>
      <c r="G159" s="57"/>
      <c r="H159" s="131"/>
      <c r="N159" s="53"/>
      <c r="P159" s="53"/>
      <c r="Q159" s="57"/>
      <c r="R159" s="57"/>
      <c r="S159" s="53"/>
      <c r="T159" s="53"/>
      <c r="U159" s="53"/>
      <c r="V159" s="53"/>
      <c r="W159" s="57"/>
      <c r="X159" s="53"/>
      <c r="Y159" s="53"/>
      <c r="Z159" s="763"/>
      <c r="AA159" s="53"/>
      <c r="AB159" s="53"/>
      <c r="AC159" s="53"/>
      <c r="AD159" s="53"/>
      <c r="AE159" s="53"/>
      <c r="AF159" s="56"/>
      <c r="AG159" s="54"/>
      <c r="AH159" s="54"/>
      <c r="AI159" s="54"/>
      <c r="AJ159" s="54"/>
      <c r="AK159" s="131">
        <v>11</v>
      </c>
    </row>
    <row r="160" s="131" customFormat="1" ht="11.5" customHeight="1">
      <c r="A160" s="762"/>
      <c r="B160" s="762"/>
      <c r="C160" s="762"/>
      <c r="D160" s="762"/>
      <c r="E160" s="762"/>
      <c r="F160" s="57"/>
      <c r="G160" s="57"/>
      <c r="H160" s="131"/>
      <c r="N160" s="53"/>
      <c r="P160" s="53"/>
      <c r="Q160" s="57"/>
      <c r="R160" s="57"/>
      <c r="S160" s="53"/>
      <c r="T160" s="53"/>
      <c r="U160" s="53"/>
      <c r="V160" s="53"/>
      <c r="W160" s="57"/>
      <c r="X160" s="53"/>
      <c r="Y160" s="53"/>
      <c r="Z160" s="763"/>
      <c r="AA160" s="53"/>
      <c r="AB160" s="53"/>
      <c r="AC160" s="53"/>
      <c r="AD160" s="53"/>
      <c r="AE160" s="53"/>
      <c r="AF160" s="56"/>
      <c r="AG160" s="54"/>
      <c r="AH160" s="54"/>
      <c r="AI160" s="54"/>
      <c r="AJ160" s="54"/>
      <c r="AK160" s="131">
        <v>11</v>
      </c>
    </row>
    <row r="161" s="131" customFormat="1" ht="11.5" customHeight="1">
      <c r="A161" s="762"/>
      <c r="B161" s="762"/>
      <c r="C161" s="762"/>
      <c r="D161" s="762"/>
      <c r="E161" s="762"/>
      <c r="F161" s="57"/>
      <c r="G161" s="57"/>
      <c r="H161" s="131"/>
      <c r="N161" s="53"/>
      <c r="P161" s="53"/>
      <c r="Q161" s="57"/>
      <c r="R161" s="57"/>
      <c r="S161" s="53"/>
      <c r="T161" s="53"/>
      <c r="U161" s="53"/>
      <c r="V161" s="53"/>
      <c r="W161" s="57"/>
      <c r="X161" s="53"/>
      <c r="Y161" s="53"/>
      <c r="Z161" s="763"/>
      <c r="AA161" s="53"/>
      <c r="AB161" s="53"/>
      <c r="AC161" s="53"/>
      <c r="AD161" s="53"/>
      <c r="AE161" s="53"/>
      <c r="AF161" s="56"/>
      <c r="AG161" s="54"/>
      <c r="AH161" s="54"/>
      <c r="AI161" s="54"/>
      <c r="AJ161" s="54"/>
      <c r="AK161" s="131">
        <v>11</v>
      </c>
    </row>
    <row r="162" s="131" customFormat="1" ht="11.5" customHeight="1">
      <c r="A162" s="762"/>
      <c r="B162" s="762"/>
      <c r="C162" s="762"/>
      <c r="D162" s="762"/>
      <c r="E162" s="762"/>
      <c r="F162" s="57"/>
      <c r="G162" s="57"/>
      <c r="H162" s="131"/>
      <c r="N162" s="53"/>
      <c r="P162" s="53"/>
      <c r="Q162" s="57"/>
      <c r="R162" s="57"/>
      <c r="S162" s="53"/>
      <c r="T162" s="53"/>
      <c r="U162" s="53"/>
      <c r="V162" s="53"/>
      <c r="W162" s="57"/>
      <c r="X162" s="53"/>
      <c r="Y162" s="53"/>
      <c r="Z162" s="763"/>
      <c r="AA162" s="53"/>
      <c r="AB162" s="53"/>
      <c r="AC162" s="53"/>
      <c r="AD162" s="53"/>
      <c r="AE162" s="53"/>
      <c r="AF162" s="56"/>
      <c r="AG162" s="54"/>
      <c r="AH162" s="54"/>
      <c r="AI162" s="54"/>
      <c r="AJ162" s="54"/>
      <c r="AK162" s="131">
        <v>11</v>
      </c>
    </row>
    <row r="163" s="131" customFormat="1" ht="11.5" customHeight="1">
      <c r="A163" s="762"/>
      <c r="B163" s="762"/>
      <c r="C163" s="762"/>
      <c r="D163" s="762"/>
      <c r="E163" s="762"/>
      <c r="F163" s="57"/>
      <c r="G163" s="57"/>
      <c r="H163" s="131"/>
      <c r="N163" s="53"/>
      <c r="P163" s="53"/>
      <c r="Q163" s="57"/>
      <c r="R163" s="57"/>
      <c r="S163" s="53"/>
      <c r="T163" s="53"/>
      <c r="U163" s="53"/>
      <c r="V163" s="53"/>
      <c r="W163" s="57"/>
      <c r="X163" s="53"/>
      <c r="Y163" s="53"/>
      <c r="Z163" s="763"/>
      <c r="AA163" s="53"/>
      <c r="AB163" s="53"/>
      <c r="AC163" s="53"/>
      <c r="AD163" s="53"/>
      <c r="AE163" s="53"/>
      <c r="AF163" s="56"/>
      <c r="AG163" s="54"/>
      <c r="AH163" s="54"/>
      <c r="AI163" s="54"/>
      <c r="AJ163" s="54"/>
      <c r="AK163" s="131">
        <v>11</v>
      </c>
    </row>
    <row r="164" s="131" customFormat="1" ht="11.5" customHeight="1">
      <c r="A164" s="762"/>
      <c r="B164" s="762"/>
      <c r="C164" s="762"/>
      <c r="D164" s="762"/>
      <c r="E164" s="762"/>
      <c r="F164" s="57"/>
      <c r="G164" s="57"/>
      <c r="H164" s="131"/>
      <c r="N164" s="53"/>
      <c r="P164" s="53"/>
      <c r="Q164" s="57"/>
      <c r="R164" s="57"/>
      <c r="S164" s="53"/>
      <c r="T164" s="53"/>
      <c r="U164" s="53"/>
      <c r="V164" s="53"/>
      <c r="W164" s="57"/>
      <c r="X164" s="53"/>
      <c r="Y164" s="53"/>
      <c r="Z164" s="763"/>
      <c r="AA164" s="53"/>
      <c r="AB164" s="53"/>
      <c r="AC164" s="53"/>
      <c r="AD164" s="53"/>
      <c r="AE164" s="53"/>
      <c r="AF164" s="56"/>
      <c r="AG164" s="54"/>
      <c r="AH164" s="54"/>
      <c r="AI164" s="54"/>
      <c r="AJ164" s="54"/>
      <c r="AK164" s="131">
        <v>11</v>
      </c>
    </row>
    <row r="165" s="131" customFormat="1" ht="11.5" customHeight="1">
      <c r="A165" s="762"/>
      <c r="B165" s="762"/>
      <c r="C165" s="762"/>
      <c r="D165" s="762"/>
      <c r="E165" s="762"/>
      <c r="F165" s="57"/>
      <c r="G165" s="57"/>
      <c r="H165" s="131"/>
      <c r="N165" s="53"/>
      <c r="P165" s="53"/>
      <c r="Q165" s="57"/>
      <c r="R165" s="57"/>
      <c r="S165" s="53"/>
      <c r="T165" s="53"/>
      <c r="U165" s="53"/>
      <c r="V165" s="53"/>
      <c r="W165" s="57"/>
      <c r="X165" s="53"/>
      <c r="Y165" s="53"/>
      <c r="Z165" s="763"/>
      <c r="AA165" s="53"/>
      <c r="AB165" s="53"/>
      <c r="AC165" s="53"/>
      <c r="AD165" s="53"/>
      <c r="AE165" s="53"/>
      <c r="AF165" s="56"/>
      <c r="AG165" s="54"/>
      <c r="AH165" s="54"/>
      <c r="AI165" s="54"/>
      <c r="AJ165" s="54"/>
      <c r="AK165" s="131">
        <v>11</v>
      </c>
    </row>
    <row r="166" s="131" customFormat="1" ht="11.5" customHeight="1">
      <c r="A166" s="762"/>
      <c r="B166" s="762"/>
      <c r="C166" s="762"/>
      <c r="D166" s="762"/>
      <c r="E166" s="762"/>
      <c r="F166" s="57"/>
      <c r="G166" s="57"/>
      <c r="H166" s="131"/>
      <c r="N166" s="53"/>
      <c r="P166" s="53"/>
      <c r="Q166" s="57"/>
      <c r="R166" s="57"/>
      <c r="S166" s="53"/>
      <c r="T166" s="53"/>
      <c r="U166" s="53"/>
      <c r="V166" s="53"/>
      <c r="W166" s="57"/>
      <c r="X166" s="53"/>
      <c r="Y166" s="53"/>
      <c r="Z166" s="763"/>
      <c r="AA166" s="53"/>
      <c r="AB166" s="53"/>
      <c r="AC166" s="53"/>
      <c r="AD166" s="53"/>
      <c r="AE166" s="53"/>
      <c r="AF166" s="56"/>
      <c r="AG166" s="54"/>
      <c r="AH166" s="54"/>
      <c r="AI166" s="54"/>
      <c r="AJ166" s="54"/>
      <c r="AK166" s="131">
        <v>11</v>
      </c>
    </row>
    <row r="167" s="131" customFormat="1" ht="11.5" customHeight="1">
      <c r="A167" s="762"/>
      <c r="B167" s="762"/>
      <c r="C167" s="762"/>
      <c r="D167" s="762"/>
      <c r="E167" s="762"/>
      <c r="F167" s="57"/>
      <c r="G167" s="57"/>
      <c r="H167" s="131"/>
      <c r="N167" s="53"/>
      <c r="P167" s="53"/>
      <c r="Q167" s="57"/>
      <c r="R167" s="57"/>
      <c r="S167" s="53"/>
      <c r="T167" s="53"/>
      <c r="U167" s="53"/>
      <c r="V167" s="53"/>
      <c r="W167" s="57"/>
      <c r="X167" s="53"/>
      <c r="Y167" s="53"/>
      <c r="Z167" s="763"/>
      <c r="AA167" s="53"/>
      <c r="AB167" s="53"/>
      <c r="AC167" s="53"/>
      <c r="AD167" s="53"/>
      <c r="AE167" s="53"/>
      <c r="AF167" s="56"/>
      <c r="AG167" s="54"/>
      <c r="AH167" s="54"/>
      <c r="AI167" s="54"/>
      <c r="AJ167" s="54"/>
      <c r="AK167" s="131">
        <v>11</v>
      </c>
    </row>
    <row r="168" s="131" customFormat="1" ht="11.5" customHeight="1">
      <c r="A168" s="762"/>
      <c r="B168" s="762"/>
      <c r="C168" s="762"/>
      <c r="D168" s="762"/>
      <c r="E168" s="762"/>
      <c r="F168" s="57"/>
      <c r="G168" s="57"/>
      <c r="H168" s="131"/>
      <c r="N168" s="53"/>
      <c r="P168" s="53"/>
      <c r="Q168" s="57"/>
      <c r="R168" s="57"/>
      <c r="S168" s="53"/>
      <c r="T168" s="53"/>
      <c r="U168" s="53"/>
      <c r="V168" s="53"/>
      <c r="W168" s="57"/>
      <c r="X168" s="53"/>
      <c r="Y168" s="53"/>
      <c r="Z168" s="763"/>
      <c r="AA168" s="53"/>
      <c r="AB168" s="53"/>
      <c r="AC168" s="53"/>
      <c r="AD168" s="53"/>
      <c r="AE168" s="53"/>
      <c r="AF168" s="56"/>
      <c r="AG168" s="54"/>
      <c r="AH168" s="54"/>
      <c r="AI168" s="54"/>
      <c r="AJ168" s="54"/>
      <c r="AK168" s="131">
        <v>11</v>
      </c>
    </row>
    <row r="169" s="131" customFormat="1" ht="11.5" customHeight="1">
      <c r="A169" s="762"/>
      <c r="B169" s="762"/>
      <c r="C169" s="762"/>
      <c r="D169" s="762"/>
      <c r="E169" s="762"/>
      <c r="F169" s="57"/>
      <c r="G169" s="57"/>
      <c r="H169" s="131"/>
      <c r="N169" s="53"/>
      <c r="P169" s="53"/>
      <c r="Q169" s="57"/>
      <c r="R169" s="57"/>
      <c r="S169" s="53"/>
      <c r="T169" s="53"/>
      <c r="U169" s="53"/>
      <c r="V169" s="53"/>
      <c r="W169" s="57"/>
      <c r="X169" s="53"/>
      <c r="Y169" s="53"/>
      <c r="Z169" s="763"/>
      <c r="AA169" s="53"/>
      <c r="AB169" s="53"/>
      <c r="AC169" s="53"/>
      <c r="AD169" s="53"/>
      <c r="AE169" s="53"/>
      <c r="AF169" s="56"/>
      <c r="AG169" s="54"/>
      <c r="AH169" s="54"/>
      <c r="AI169" s="54"/>
      <c r="AJ169" s="54"/>
      <c r="AK169" s="131">
        <v>11</v>
      </c>
    </row>
    <row r="170" s="131" customFormat="1" ht="11.5" customHeight="1">
      <c r="A170" s="762"/>
      <c r="B170" s="762"/>
      <c r="C170" s="762"/>
      <c r="D170" s="762"/>
      <c r="E170" s="762"/>
      <c r="F170" s="57"/>
      <c r="G170" s="57"/>
      <c r="H170" s="131"/>
      <c r="N170" s="53"/>
      <c r="P170" s="53"/>
      <c r="Q170" s="57"/>
      <c r="R170" s="57"/>
      <c r="S170" s="53"/>
      <c r="T170" s="53"/>
      <c r="U170" s="53"/>
      <c r="V170" s="53"/>
      <c r="W170" s="57"/>
      <c r="X170" s="53"/>
      <c r="Y170" s="53"/>
      <c r="Z170" s="763"/>
      <c r="AA170" s="53"/>
      <c r="AB170" s="53"/>
      <c r="AC170" s="53"/>
      <c r="AD170" s="53"/>
      <c r="AE170" s="53"/>
      <c r="AF170" s="56"/>
      <c r="AG170" s="54"/>
      <c r="AH170" s="54"/>
      <c r="AI170" s="54"/>
      <c r="AJ170" s="54"/>
      <c r="AK170" s="131">
        <v>11</v>
      </c>
    </row>
    <row r="171" s="131" customFormat="1" ht="11.5" customHeight="1">
      <c r="A171" s="762"/>
      <c r="B171" s="762"/>
      <c r="C171" s="762"/>
      <c r="D171" s="762"/>
      <c r="E171" s="762"/>
      <c r="F171" s="57"/>
      <c r="G171" s="57"/>
      <c r="H171" s="131"/>
      <c r="N171" s="53"/>
      <c r="P171" s="53"/>
      <c r="Q171" s="57"/>
      <c r="R171" s="57"/>
      <c r="S171" s="53"/>
      <c r="T171" s="53"/>
      <c r="U171" s="53"/>
      <c r="V171" s="53"/>
      <c r="W171" s="57"/>
      <c r="X171" s="53"/>
      <c r="Y171" s="53"/>
      <c r="Z171" s="763"/>
      <c r="AA171" s="53"/>
      <c r="AB171" s="53"/>
      <c r="AC171" s="53"/>
      <c r="AD171" s="53"/>
      <c r="AE171" s="53"/>
      <c r="AF171" s="56"/>
      <c r="AG171" s="54"/>
      <c r="AH171" s="54"/>
      <c r="AI171" s="54"/>
      <c r="AJ171" s="54"/>
      <c r="AK171" s="131">
        <v>11</v>
      </c>
    </row>
    <row r="172" s="131" customFormat="1" ht="11.5" customHeight="1">
      <c r="A172" s="762"/>
      <c r="B172" s="762"/>
      <c r="C172" s="762"/>
      <c r="D172" s="762"/>
      <c r="E172" s="762"/>
      <c r="F172" s="57"/>
      <c r="G172" s="57"/>
      <c r="H172" s="131"/>
      <c r="N172" s="53"/>
      <c r="P172" s="53"/>
      <c r="Q172" s="57"/>
      <c r="R172" s="57"/>
      <c r="S172" s="53"/>
      <c r="T172" s="53"/>
      <c r="U172" s="53"/>
      <c r="V172" s="53"/>
      <c r="W172" s="57"/>
      <c r="X172" s="53"/>
      <c r="Y172" s="53"/>
      <c r="Z172" s="763"/>
      <c r="AA172" s="53"/>
      <c r="AB172" s="53"/>
      <c r="AC172" s="53"/>
      <c r="AD172" s="53"/>
      <c r="AE172" s="53"/>
      <c r="AF172" s="56"/>
      <c r="AG172" s="54"/>
      <c r="AH172" s="54"/>
      <c r="AI172" s="54"/>
      <c r="AJ172" s="54"/>
      <c r="AK172" s="131">
        <v>11</v>
      </c>
    </row>
    <row r="173" s="131" customFormat="1" ht="11.5" customHeight="1">
      <c r="A173" s="762"/>
      <c r="B173" s="762"/>
      <c r="C173" s="762"/>
      <c r="D173" s="762"/>
      <c r="E173" s="762"/>
      <c r="F173" s="57"/>
      <c r="G173" s="57"/>
      <c r="H173" s="131"/>
      <c r="N173" s="53"/>
      <c r="P173" s="53"/>
      <c r="Q173" s="57"/>
      <c r="R173" s="57"/>
      <c r="S173" s="53"/>
      <c r="T173" s="53"/>
      <c r="U173" s="53"/>
      <c r="V173" s="53"/>
      <c r="W173" s="57"/>
      <c r="X173" s="53"/>
      <c r="Y173" s="53"/>
      <c r="Z173" s="763"/>
      <c r="AA173" s="53"/>
      <c r="AB173" s="53"/>
      <c r="AC173" s="53"/>
      <c r="AD173" s="53"/>
      <c r="AE173" s="53"/>
      <c r="AF173" s="56"/>
      <c r="AG173" s="54"/>
      <c r="AH173" s="54"/>
      <c r="AI173" s="54"/>
      <c r="AJ173" s="54"/>
      <c r="AK173" s="131">
        <v>11</v>
      </c>
    </row>
    <row r="174" s="131" customFormat="1" ht="11.5" customHeight="1">
      <c r="A174" s="762"/>
      <c r="B174" s="762"/>
      <c r="C174" s="762"/>
      <c r="D174" s="762"/>
      <c r="E174" s="762"/>
      <c r="F174" s="57"/>
      <c r="G174" s="57"/>
      <c r="H174" s="131"/>
      <c r="N174" s="53"/>
      <c r="P174" s="53"/>
      <c r="Q174" s="57"/>
      <c r="R174" s="57"/>
      <c r="S174" s="53"/>
      <c r="T174" s="53"/>
      <c r="U174" s="53"/>
      <c r="V174" s="53"/>
      <c r="W174" s="57"/>
      <c r="X174" s="53"/>
      <c r="Y174" s="53"/>
      <c r="Z174" s="763"/>
      <c r="AA174" s="53"/>
      <c r="AB174" s="53"/>
      <c r="AC174" s="53"/>
      <c r="AD174" s="53"/>
      <c r="AE174" s="53"/>
      <c r="AF174" s="56"/>
      <c r="AG174" s="54"/>
      <c r="AH174" s="54"/>
      <c r="AI174" s="54"/>
      <c r="AJ174" s="54"/>
      <c r="AK174" s="131">
        <v>11</v>
      </c>
    </row>
    <row r="175" s="131" customFormat="1" ht="11.5" customHeight="1">
      <c r="A175" s="762"/>
      <c r="B175" s="762"/>
      <c r="C175" s="762"/>
      <c r="D175" s="762"/>
      <c r="E175" s="762"/>
      <c r="F175" s="57"/>
      <c r="G175" s="57"/>
      <c r="H175" s="131"/>
      <c r="N175" s="53"/>
      <c r="P175" s="53"/>
      <c r="Q175" s="57"/>
      <c r="R175" s="57"/>
      <c r="S175" s="53"/>
      <c r="T175" s="53"/>
      <c r="U175" s="53"/>
      <c r="V175" s="53"/>
      <c r="W175" s="57"/>
      <c r="X175" s="53"/>
      <c r="Y175" s="53"/>
      <c r="Z175" s="763"/>
      <c r="AA175" s="53"/>
      <c r="AB175" s="53"/>
      <c r="AC175" s="53"/>
      <c r="AD175" s="53"/>
      <c r="AE175" s="53"/>
      <c r="AF175" s="56"/>
      <c r="AG175" s="54"/>
      <c r="AH175" s="54"/>
      <c r="AI175" s="54"/>
      <c r="AJ175" s="54"/>
      <c r="AK175" s="131">
        <v>11</v>
      </c>
    </row>
    <row r="176" s="131" customFormat="1" ht="11.5" customHeight="1">
      <c r="A176" s="762"/>
      <c r="B176" s="762"/>
      <c r="C176" s="762"/>
      <c r="D176" s="762"/>
      <c r="E176" s="762"/>
      <c r="F176" s="57"/>
      <c r="G176" s="57"/>
      <c r="H176" s="131"/>
      <c r="N176" s="53"/>
      <c r="P176" s="53"/>
      <c r="Q176" s="57"/>
      <c r="R176" s="57"/>
      <c r="S176" s="53"/>
      <c r="T176" s="53"/>
      <c r="U176" s="53"/>
      <c r="V176" s="53"/>
      <c r="W176" s="57"/>
      <c r="X176" s="53"/>
      <c r="Y176" s="53"/>
      <c r="Z176" s="763"/>
      <c r="AA176" s="53"/>
      <c r="AB176" s="53"/>
      <c r="AC176" s="53"/>
      <c r="AD176" s="53"/>
      <c r="AE176" s="53"/>
      <c r="AF176" s="56"/>
      <c r="AG176" s="54"/>
      <c r="AH176" s="54"/>
      <c r="AI176" s="54"/>
      <c r="AJ176" s="54"/>
      <c r="AK176" s="131">
        <v>11</v>
      </c>
    </row>
    <row r="177" s="131" customFormat="1" ht="11.5" customHeight="1">
      <c r="A177" s="762"/>
      <c r="B177" s="762"/>
      <c r="C177" s="762"/>
      <c r="D177" s="762"/>
      <c r="E177" s="762"/>
      <c r="F177" s="57"/>
      <c r="G177" s="57"/>
      <c r="H177" s="131"/>
      <c r="N177" s="53"/>
      <c r="P177" s="53"/>
      <c r="Q177" s="57"/>
      <c r="R177" s="57"/>
      <c r="S177" s="53"/>
      <c r="T177" s="53"/>
      <c r="U177" s="53"/>
      <c r="V177" s="53"/>
      <c r="W177" s="57"/>
      <c r="X177" s="53"/>
      <c r="Y177" s="53"/>
      <c r="Z177" s="763"/>
      <c r="AA177" s="53"/>
      <c r="AB177" s="53"/>
      <c r="AC177" s="53"/>
      <c r="AD177" s="53"/>
      <c r="AE177" s="53"/>
      <c r="AF177" s="56"/>
      <c r="AG177" s="54"/>
      <c r="AH177" s="54"/>
      <c r="AI177" s="54"/>
      <c r="AJ177" s="54"/>
      <c r="AK177" s="131">
        <v>11</v>
      </c>
    </row>
    <row r="178" s="131" customFormat="1" ht="11.5" customHeight="1">
      <c r="A178" s="762"/>
      <c r="B178" s="762"/>
      <c r="C178" s="762"/>
      <c r="D178" s="762"/>
      <c r="E178" s="762"/>
      <c r="F178" s="57"/>
      <c r="G178" s="57"/>
      <c r="H178" s="131"/>
      <c r="N178" s="53"/>
      <c r="P178" s="53"/>
      <c r="Q178" s="57"/>
      <c r="R178" s="57"/>
      <c r="S178" s="53"/>
      <c r="T178" s="53"/>
      <c r="U178" s="53"/>
      <c r="V178" s="53"/>
      <c r="W178" s="57"/>
      <c r="X178" s="53"/>
      <c r="Y178" s="53"/>
      <c r="Z178" s="763"/>
      <c r="AA178" s="53"/>
      <c r="AB178" s="53"/>
      <c r="AC178" s="53"/>
      <c r="AD178" s="53"/>
      <c r="AE178" s="53"/>
      <c r="AF178" s="56"/>
      <c r="AG178" s="54"/>
      <c r="AH178" s="54"/>
      <c r="AI178" s="54"/>
      <c r="AJ178" s="54"/>
      <c r="AK178" s="131">
        <v>11</v>
      </c>
    </row>
    <row r="179" s="131" customFormat="1" ht="11.5" customHeight="1">
      <c r="A179" s="762"/>
      <c r="B179" s="762"/>
      <c r="C179" s="762"/>
      <c r="D179" s="762"/>
      <c r="E179" s="762"/>
      <c r="F179" s="57"/>
      <c r="G179" s="57"/>
      <c r="H179" s="131"/>
      <c r="N179" s="53"/>
      <c r="P179" s="53"/>
      <c r="Q179" s="57"/>
      <c r="R179" s="57"/>
      <c r="S179" s="53"/>
      <c r="T179" s="53"/>
      <c r="U179" s="53"/>
      <c r="V179" s="53"/>
      <c r="W179" s="57"/>
      <c r="X179" s="53"/>
      <c r="Y179" s="53"/>
      <c r="Z179" s="763"/>
      <c r="AA179" s="53"/>
      <c r="AB179" s="53"/>
      <c r="AC179" s="53"/>
      <c r="AD179" s="53"/>
      <c r="AE179" s="53"/>
      <c r="AF179" s="56"/>
      <c r="AG179" s="54"/>
      <c r="AH179" s="54"/>
      <c r="AI179" s="54"/>
      <c r="AJ179" s="54"/>
      <c r="AK179" s="131">
        <v>11</v>
      </c>
    </row>
    <row r="180" s="131" customFormat="1" ht="11.5" customHeight="1">
      <c r="A180" s="762"/>
      <c r="B180" s="762"/>
      <c r="C180" s="762"/>
      <c r="D180" s="762"/>
      <c r="E180" s="762"/>
      <c r="F180" s="57"/>
      <c r="G180" s="57"/>
      <c r="H180" s="131"/>
      <c r="N180" s="53"/>
      <c r="P180" s="53"/>
      <c r="Q180" s="57"/>
      <c r="R180" s="57"/>
      <c r="S180" s="53"/>
      <c r="T180" s="53"/>
      <c r="U180" s="53"/>
      <c r="V180" s="53"/>
      <c r="W180" s="57"/>
      <c r="X180" s="53"/>
      <c r="Y180" s="53"/>
      <c r="Z180" s="763"/>
      <c r="AA180" s="53"/>
      <c r="AB180" s="53"/>
      <c r="AC180" s="53"/>
      <c r="AD180" s="53"/>
      <c r="AE180" s="53"/>
      <c r="AF180" s="56"/>
      <c r="AG180" s="54"/>
      <c r="AH180" s="54"/>
      <c r="AI180" s="54"/>
      <c r="AJ180" s="54"/>
      <c r="AK180" s="131">
        <v>11</v>
      </c>
    </row>
    <row r="181" s="131" customFormat="1" ht="11.5" customHeight="1">
      <c r="A181" s="762"/>
      <c r="B181" s="762"/>
      <c r="C181" s="762"/>
      <c r="D181" s="762"/>
      <c r="E181" s="762"/>
      <c r="F181" s="57"/>
      <c r="G181" s="57"/>
      <c r="H181" s="131"/>
      <c r="N181" s="53"/>
      <c r="P181" s="53"/>
      <c r="Q181" s="57"/>
      <c r="R181" s="57"/>
      <c r="S181" s="53"/>
      <c r="T181" s="53"/>
      <c r="U181" s="53"/>
      <c r="V181" s="53"/>
      <c r="W181" s="57"/>
      <c r="X181" s="53"/>
      <c r="Y181" s="53"/>
      <c r="Z181" s="763"/>
      <c r="AA181" s="53"/>
      <c r="AB181" s="53"/>
      <c r="AC181" s="53"/>
      <c r="AD181" s="53"/>
      <c r="AE181" s="53"/>
      <c r="AF181" s="56"/>
      <c r="AG181" s="54"/>
      <c r="AH181" s="54"/>
      <c r="AI181" s="54"/>
      <c r="AJ181" s="54"/>
      <c r="AK181" s="131">
        <v>11</v>
      </c>
    </row>
    <row r="182" s="131" customFormat="1" ht="11.5" customHeight="1">
      <c r="A182" s="762"/>
      <c r="B182" s="762"/>
      <c r="C182" s="762"/>
      <c r="D182" s="762"/>
      <c r="E182" s="762"/>
      <c r="F182" s="57"/>
      <c r="G182" s="57"/>
      <c r="H182" s="131"/>
      <c r="N182" s="53"/>
      <c r="P182" s="53"/>
      <c r="Q182" s="57"/>
      <c r="R182" s="57"/>
      <c r="S182" s="53"/>
      <c r="T182" s="53"/>
      <c r="U182" s="53"/>
      <c r="V182" s="53"/>
      <c r="W182" s="57"/>
      <c r="X182" s="53"/>
      <c r="Y182" s="53"/>
      <c r="Z182" s="763"/>
      <c r="AA182" s="53"/>
      <c r="AB182" s="53"/>
      <c r="AC182" s="53"/>
      <c r="AD182" s="53"/>
      <c r="AE182" s="53"/>
      <c r="AF182" s="56"/>
      <c r="AG182" s="54"/>
      <c r="AH182" s="54"/>
      <c r="AI182" s="54"/>
      <c r="AJ182" s="54"/>
      <c r="AK182" s="131">
        <v>11</v>
      </c>
    </row>
    <row r="183" s="131" customFormat="1" ht="11.5" customHeight="1">
      <c r="A183" s="762"/>
      <c r="B183" s="762"/>
      <c r="C183" s="762"/>
      <c r="D183" s="762"/>
      <c r="E183" s="762"/>
      <c r="F183" s="57"/>
      <c r="G183" s="57"/>
      <c r="H183" s="131"/>
      <c r="N183" s="53"/>
      <c r="P183" s="53"/>
      <c r="Q183" s="57"/>
      <c r="R183" s="57"/>
      <c r="S183" s="53"/>
      <c r="T183" s="53"/>
      <c r="U183" s="53"/>
      <c r="V183" s="53"/>
      <c r="W183" s="57"/>
      <c r="X183" s="53"/>
      <c r="Y183" s="53"/>
      <c r="Z183" s="763"/>
      <c r="AA183" s="53"/>
      <c r="AB183" s="53"/>
      <c r="AC183" s="53"/>
      <c r="AD183" s="53"/>
      <c r="AE183" s="53"/>
      <c r="AF183" s="56"/>
      <c r="AG183" s="54"/>
      <c r="AH183" s="54"/>
      <c r="AI183" s="54"/>
      <c r="AJ183" s="54"/>
      <c r="AK183" s="131">
        <v>11</v>
      </c>
    </row>
    <row r="184" s="131" customFormat="1" ht="11.5" customHeight="1">
      <c r="A184" s="762"/>
      <c r="B184" s="762"/>
      <c r="C184" s="762"/>
      <c r="D184" s="762"/>
      <c r="E184" s="762"/>
      <c r="F184" s="57"/>
      <c r="G184" s="57"/>
      <c r="H184" s="131"/>
      <c r="N184" s="53"/>
      <c r="P184" s="53"/>
      <c r="Q184" s="57"/>
      <c r="R184" s="57"/>
      <c r="S184" s="53"/>
      <c r="T184" s="53"/>
      <c r="U184" s="53"/>
      <c r="V184" s="53"/>
      <c r="W184" s="57"/>
      <c r="X184" s="53"/>
      <c r="Y184" s="53"/>
      <c r="Z184" s="763"/>
      <c r="AA184" s="53"/>
      <c r="AB184" s="53"/>
      <c r="AC184" s="53"/>
      <c r="AD184" s="53"/>
      <c r="AE184" s="53"/>
      <c r="AF184" s="56"/>
      <c r="AG184" s="54"/>
      <c r="AH184" s="54"/>
      <c r="AI184" s="54"/>
      <c r="AJ184" s="54"/>
      <c r="AK184" s="131">
        <v>11</v>
      </c>
    </row>
    <row r="185" s="131" customFormat="1" ht="11.5" customHeight="1">
      <c r="A185" s="762"/>
      <c r="B185" s="762"/>
      <c r="C185" s="762"/>
      <c r="D185" s="762"/>
      <c r="E185" s="762"/>
      <c r="F185" s="57"/>
      <c r="G185" s="57"/>
      <c r="H185" s="131"/>
      <c r="N185" s="53"/>
      <c r="P185" s="53"/>
      <c r="Q185" s="57"/>
      <c r="R185" s="57"/>
      <c r="S185" s="53"/>
      <c r="T185" s="53"/>
      <c r="U185" s="53"/>
      <c r="V185" s="53"/>
      <c r="W185" s="57"/>
      <c r="X185" s="53"/>
      <c r="Y185" s="53"/>
      <c r="Z185" s="763"/>
      <c r="AA185" s="53"/>
      <c r="AB185" s="53"/>
      <c r="AC185" s="53"/>
      <c r="AD185" s="53"/>
      <c r="AE185" s="53"/>
      <c r="AF185" s="56"/>
      <c r="AG185" s="54"/>
      <c r="AH185" s="54"/>
      <c r="AI185" s="54"/>
      <c r="AJ185" s="54"/>
      <c r="AK185" s="131">
        <v>11</v>
      </c>
    </row>
    <row r="186" s="131" customFormat="1" ht="11.5" customHeight="1">
      <c r="A186" s="762"/>
      <c r="B186" s="762"/>
      <c r="C186" s="762"/>
      <c r="D186" s="762"/>
      <c r="E186" s="762"/>
      <c r="F186" s="57"/>
      <c r="G186" s="57"/>
      <c r="H186" s="131"/>
      <c r="N186" s="53"/>
      <c r="P186" s="53"/>
      <c r="Q186" s="57"/>
      <c r="R186" s="57"/>
      <c r="S186" s="53"/>
      <c r="T186" s="53"/>
      <c r="U186" s="53"/>
      <c r="V186" s="53"/>
      <c r="W186" s="57"/>
      <c r="X186" s="53"/>
      <c r="Y186" s="53"/>
      <c r="Z186" s="763"/>
      <c r="AA186" s="53"/>
      <c r="AB186" s="53"/>
      <c r="AC186" s="53"/>
      <c r="AD186" s="53"/>
      <c r="AE186" s="53"/>
      <c r="AF186" s="56"/>
      <c r="AG186" s="54"/>
      <c r="AH186" s="54"/>
      <c r="AI186" s="54"/>
      <c r="AJ186" s="54"/>
      <c r="AK186" s="131">
        <v>11</v>
      </c>
    </row>
    <row r="187" s="131" customFormat="1" ht="11.5" customHeight="1">
      <c r="A187" s="762"/>
      <c r="B187" s="762"/>
      <c r="C187" s="762"/>
      <c r="D187" s="762"/>
      <c r="E187" s="762"/>
      <c r="F187" s="57"/>
      <c r="G187" s="57"/>
      <c r="H187" s="131"/>
      <c r="N187" s="53"/>
      <c r="P187" s="53"/>
      <c r="Q187" s="57"/>
      <c r="R187" s="57"/>
      <c r="S187" s="53"/>
      <c r="T187" s="53"/>
      <c r="U187" s="53"/>
      <c r="V187" s="53"/>
      <c r="W187" s="57"/>
      <c r="X187" s="53"/>
      <c r="Y187" s="53"/>
      <c r="Z187" s="763"/>
      <c r="AA187" s="53"/>
      <c r="AB187" s="53"/>
      <c r="AC187" s="53"/>
      <c r="AD187" s="53"/>
      <c r="AE187" s="53"/>
      <c r="AF187" s="56"/>
      <c r="AG187" s="54"/>
      <c r="AH187" s="54"/>
      <c r="AI187" s="54"/>
      <c r="AJ187" s="54"/>
      <c r="AK187" s="131">
        <v>11</v>
      </c>
    </row>
    <row r="188" s="131" customFormat="1" ht="11.5" customHeight="1">
      <c r="A188" s="762"/>
      <c r="B188" s="762"/>
      <c r="C188" s="762"/>
      <c r="D188" s="762"/>
      <c r="E188" s="762"/>
      <c r="F188" s="57"/>
      <c r="G188" s="57"/>
      <c r="H188" s="131"/>
      <c r="N188" s="53"/>
      <c r="P188" s="53"/>
      <c r="Q188" s="57"/>
      <c r="R188" s="57"/>
      <c r="S188" s="53"/>
      <c r="T188" s="53"/>
      <c r="U188" s="53"/>
      <c r="V188" s="53"/>
      <c r="W188" s="57"/>
      <c r="X188" s="53"/>
      <c r="Y188" s="53"/>
      <c r="Z188" s="763"/>
      <c r="AA188" s="53"/>
      <c r="AB188" s="53"/>
      <c r="AC188" s="53"/>
      <c r="AD188" s="53"/>
      <c r="AE188" s="53"/>
      <c r="AF188" s="56"/>
      <c r="AG188" s="54"/>
      <c r="AH188" s="54"/>
      <c r="AI188" s="54"/>
      <c r="AJ188" s="54"/>
      <c r="AK188" s="131">
        <v>11</v>
      </c>
    </row>
    <row r="189" s="131" customFormat="1" ht="11.5" customHeight="1">
      <c r="A189" s="762"/>
      <c r="B189" s="762"/>
      <c r="C189" s="762"/>
      <c r="D189" s="762"/>
      <c r="E189" s="762"/>
      <c r="F189" s="57"/>
      <c r="G189" s="57"/>
      <c r="H189" s="131"/>
      <c r="N189" s="53"/>
      <c r="P189" s="53"/>
      <c r="Q189" s="57"/>
      <c r="R189" s="57"/>
      <c r="S189" s="53"/>
      <c r="T189" s="53"/>
      <c r="U189" s="53"/>
      <c r="V189" s="53"/>
      <c r="W189" s="57"/>
      <c r="X189" s="53"/>
      <c r="Y189" s="53"/>
      <c r="Z189" s="763"/>
      <c r="AA189" s="53"/>
      <c r="AB189" s="53"/>
      <c r="AC189" s="53"/>
      <c r="AD189" s="53"/>
      <c r="AE189" s="53"/>
      <c r="AF189" s="56"/>
      <c r="AG189" s="54"/>
      <c r="AH189" s="54"/>
      <c r="AI189" s="54"/>
      <c r="AJ189" s="54"/>
      <c r="AK189" s="131">
        <v>11</v>
      </c>
    </row>
    <row r="190" ht="11.5" customHeight="1">
      <c r="AK190" s="50">
        <v>11</v>
      </c>
    </row>
    <row r="191" ht="11.5" customHeight="1">
      <c r="AK191" s="50">
        <v>11</v>
      </c>
    </row>
    <row r="192" ht="11.5" customHeight="1">
      <c r="AK192" s="50">
        <v>11</v>
      </c>
    </row>
    <row r="193" ht="11.5" customHeight="1">
      <c r="A193" s="830"/>
      <c r="B193" s="830"/>
      <c r="C193" s="830"/>
      <c r="D193" s="830"/>
      <c r="E193" s="830"/>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830"/>
      <c r="B194" s="830"/>
      <c r="C194" s="830"/>
      <c r="D194" s="830"/>
      <c r="E194" s="830"/>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830"/>
      <c r="B195" s="830"/>
      <c r="C195" s="830"/>
      <c r="D195" s="830"/>
      <c r="E195" s="830"/>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830"/>
      <c r="B196" s="830"/>
      <c r="C196" s="830"/>
      <c r="D196" s="830"/>
      <c r="E196" s="830"/>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830"/>
      <c r="B197" s="830"/>
      <c r="C197" s="830"/>
      <c r="D197" s="830"/>
      <c r="E197" s="830"/>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830"/>
      <c r="B198" s="830"/>
      <c r="C198" s="830"/>
      <c r="D198" s="830"/>
      <c r="E198" s="830"/>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830"/>
      <c r="B199" s="830"/>
      <c r="C199" s="830"/>
      <c r="D199" s="830"/>
      <c r="E199" s="830"/>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830"/>
      <c r="B200" s="830"/>
      <c r="C200" s="830"/>
      <c r="D200" s="830"/>
      <c r="E200" s="830"/>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830"/>
      <c r="B201" s="830"/>
      <c r="C201" s="830"/>
      <c r="D201" s="830"/>
      <c r="E201" s="830"/>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830"/>
      <c r="B202" s="830"/>
      <c r="C202" s="830"/>
      <c r="D202" s="830"/>
      <c r="E202" s="830"/>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830"/>
      <c r="B203" s="830"/>
      <c r="C203" s="830"/>
      <c r="D203" s="830"/>
      <c r="E203" s="830"/>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62" t="s">
        <v>82</v>
      </c>
      <c r="B204" s="762" t="s">
        <v>148</v>
      </c>
      <c r="C204" s="762" t="s">
        <v>148</v>
      </c>
      <c r="D204" s="762" t="s">
        <v>148</v>
      </c>
      <c r="E204" s="762" t="s">
        <v>148</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63">
        <v>8</v>
      </c>
      <c r="AA204" s="53">
        <v>8</v>
      </c>
      <c r="AB204" s="53">
        <v>8</v>
      </c>
      <c r="AC204" s="53">
        <v>8</v>
      </c>
      <c r="AD204" s="53">
        <v>8</v>
      </c>
      <c r="AE204" s="53">
        <v>8</v>
      </c>
      <c r="AF204" s="56">
        <v>8</v>
      </c>
      <c r="AG204" s="56">
        <v>8</v>
      </c>
      <c r="AH204" s="56">
        <v>8</v>
      </c>
      <c r="AI204" s="56">
        <v>8</v>
      </c>
      <c r="AJ204" s="56">
        <v>8</v>
      </c>
      <c r="AK204" s="50">
        <v>11</v>
      </c>
    </row>
  </sheetData>
  <sheetProtection autoFilter="0" deleteColumns="0" deleteRows="0" formatCells="1" formatColumns="1" formatRows="1" insertColumns="1" insertHyperlinks="1" insertRows="0" pivotTables="1" selectLockedCells="0" selectUnlockedCells="0" sheet="0" sort="0"/>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600A3-0019-48B8-AEA3-008B00B300B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 xr:uid="{00850090-00A9-447F-BABD-000B00E700D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A70017-009C-407F-A522-005B0096002C}"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D0009D-00DD-4A20-838E-0003004A00A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92"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9" width="10.00390625"/>
    <col customWidth="1" min="17" max="22" style="50" width="10.00390625"/>
    <col hidden="1" min="23" max="23" style="50" width="10.57421875"/>
  </cols>
  <sheetData>
    <row r="1" ht="22.5" hidden="1" customHeight="1">
      <c r="S1" s="877"/>
      <c r="T1" s="877"/>
      <c r="V1" s="877"/>
      <c r="W1" s="50" t="s">
        <v>14</v>
      </c>
    </row>
    <row r="2" ht="22.5" hidden="1" customHeight="1">
      <c r="B2" s="858" t="s">
        <v>689</v>
      </c>
      <c r="C2" s="858" t="s">
        <v>690</v>
      </c>
      <c r="D2" s="859" t="s">
        <v>629</v>
      </c>
      <c r="E2" s="860">
        <f>I2-3</f>
        <v>-3</v>
      </c>
      <c r="F2" s="860">
        <f>J2</f>
        <v>0</v>
      </c>
      <c r="H2" s="878" t="s">
        <v>496</v>
      </c>
      <c r="I2" s="359"/>
      <c r="J2" s="397"/>
      <c r="K2" s="145" t="s">
        <v>308</v>
      </c>
      <c r="L2" s="484"/>
      <c r="M2" s="879"/>
      <c r="N2" s="129"/>
      <c r="P2" s="50"/>
      <c r="W2" s="50">
        <v>0</v>
      </c>
    </row>
    <row r="3" ht="14.25" hidden="1" customHeight="1">
      <c r="W3" s="50">
        <v>0</v>
      </c>
    </row>
    <row r="4" ht="6.2999999999999998" customHeight="1">
      <c r="H4" s="553"/>
      <c r="I4" s="91"/>
      <c r="J4" s="91"/>
      <c r="K4" s="91"/>
      <c r="L4" s="880"/>
      <c r="M4" s="880"/>
      <c r="W4" s="50">
        <v>6</v>
      </c>
    </row>
    <row r="5" ht="50.25" customHeight="1">
      <c r="H5" s="553"/>
      <c r="I5" s="466" t="s">
        <v>691</v>
      </c>
      <c r="J5" s="466"/>
      <c r="K5" s="466"/>
      <c r="L5" s="466"/>
      <c r="M5" s="239"/>
      <c r="W5" s="50">
        <v>48</v>
      </c>
    </row>
    <row r="6" ht="18" customHeight="1">
      <c r="H6" s="553"/>
      <c r="I6" s="320" t="str">
        <f>IF(org=0,"Не определено",org)</f>
        <v xml:space="preserve">филиал Пермская ГРЭС АО "Интер РАО - Электрогенерация"</v>
      </c>
      <c r="J6" s="320"/>
      <c r="K6" s="320"/>
      <c r="L6" s="320"/>
      <c r="M6" s="239"/>
      <c r="W6" s="50">
        <v>17</v>
      </c>
    </row>
    <row r="7" ht="14.65" customHeight="1">
      <c r="H7" s="553"/>
      <c r="I7" s="91"/>
      <c r="J7" s="83"/>
      <c r="K7" s="83"/>
      <c r="L7" s="356"/>
      <c r="M7" s="881"/>
      <c r="W7" s="50">
        <v>14</v>
      </c>
    </row>
    <row r="8" ht="14.65" customHeight="1">
      <c r="H8" s="553"/>
      <c r="I8" s="882" t="s">
        <v>302</v>
      </c>
      <c r="J8" s="883"/>
      <c r="K8" s="883"/>
      <c r="L8" s="884"/>
      <c r="M8" s="885" t="s">
        <v>303</v>
      </c>
      <c r="W8" s="50">
        <v>14</v>
      </c>
    </row>
    <row r="9" ht="35.649999999999999" customHeight="1">
      <c r="E9" s="861" t="s">
        <v>620</v>
      </c>
      <c r="F9" s="861" t="s">
        <v>626</v>
      </c>
      <c r="H9" s="553"/>
      <c r="I9" s="362" t="s">
        <v>88</v>
      </c>
      <c r="J9" s="246" t="s">
        <v>304</v>
      </c>
      <c r="K9" s="429" t="s">
        <v>568</v>
      </c>
      <c r="L9" s="246" t="s">
        <v>305</v>
      </c>
      <c r="M9" s="885"/>
      <c r="W9" s="50">
        <v>34</v>
      </c>
    </row>
    <row r="10" ht="35.649999999999999" customHeight="1">
      <c r="B10" s="858" t="s">
        <v>692</v>
      </c>
      <c r="C10" s="858" t="s">
        <v>693</v>
      </c>
      <c r="D10" s="859" t="s">
        <v>629</v>
      </c>
      <c r="E10" s="860" t="s">
        <v>630</v>
      </c>
      <c r="F10" s="860" t="s">
        <v>630</v>
      </c>
      <c r="H10" s="553"/>
      <c r="I10" s="359" t="s">
        <v>109</v>
      </c>
      <c r="J10" s="886" t="s">
        <v>694</v>
      </c>
      <c r="K10" s="145" t="s">
        <v>308</v>
      </c>
      <c r="L10" s="815"/>
      <c r="M10" s="879" t="s">
        <v>695</v>
      </c>
      <c r="W10" s="50">
        <v>34</v>
      </c>
    </row>
    <row r="11" ht="50.25" customHeight="1">
      <c r="B11" s="858" t="s">
        <v>696</v>
      </c>
      <c r="C11" s="858" t="s">
        <v>697</v>
      </c>
      <c r="D11" s="859" t="s">
        <v>629</v>
      </c>
      <c r="E11" s="860" t="s">
        <v>630</v>
      </c>
      <c r="F11" s="860" t="s">
        <v>630</v>
      </c>
      <c r="H11" s="553"/>
      <c r="I11" s="359" t="s">
        <v>110</v>
      </c>
      <c r="J11" s="886" t="s">
        <v>698</v>
      </c>
      <c r="K11" s="145" t="s">
        <v>308</v>
      </c>
      <c r="L11" s="815"/>
      <c r="M11" s="879" t="s">
        <v>695</v>
      </c>
      <c r="W11" s="50">
        <v>48</v>
      </c>
    </row>
    <row r="12" ht="48.25" customHeight="1">
      <c r="B12" s="858" t="s">
        <v>699</v>
      </c>
      <c r="C12" s="858" t="s">
        <v>700</v>
      </c>
      <c r="D12" s="859" t="s">
        <v>629</v>
      </c>
      <c r="E12" s="860" t="s">
        <v>630</v>
      </c>
      <c r="F12" s="860" t="s">
        <v>630</v>
      </c>
      <c r="H12" s="396"/>
      <c r="I12" s="359" t="s">
        <v>90</v>
      </c>
      <c r="J12" s="887" t="s">
        <v>701</v>
      </c>
      <c r="K12" s="145" t="s">
        <v>308</v>
      </c>
      <c r="L12" s="815"/>
      <c r="M12" s="879" t="s">
        <v>702</v>
      </c>
      <c r="N12" s="129"/>
      <c r="P12" s="50"/>
      <c r="W12" s="50">
        <v>46</v>
      </c>
    </row>
    <row r="13" ht="14.65" customHeight="1">
      <c r="E13" s="143"/>
      <c r="H13" s="553"/>
      <c r="I13" s="888"/>
      <c r="J13" s="177" t="s">
        <v>703</v>
      </c>
      <c r="K13" s="235"/>
      <c r="L13" s="889"/>
      <c r="M13" s="879"/>
      <c r="W13" s="50">
        <v>14</v>
      </c>
    </row>
    <row r="14" ht="14.65" customHeight="1">
      <c r="E14" s="143"/>
      <c r="H14" s="553"/>
      <c r="I14" s="832"/>
      <c r="J14" s="890"/>
      <c r="K14" s="891"/>
      <c r="L14" s="892"/>
      <c r="M14" s="588"/>
      <c r="W14" s="50">
        <v>14</v>
      </c>
    </row>
    <row r="15" ht="14.65" customHeight="1">
      <c r="I15" s="490"/>
      <c r="J15" s="588"/>
      <c r="K15" s="588"/>
      <c r="L15" s="588"/>
      <c r="M15" s="588"/>
      <c r="W15" s="50">
        <v>14</v>
      </c>
    </row>
    <row r="16" ht="21" hidden="1" customHeight="1">
      <c r="A16" s="60" t="s">
        <v>82</v>
      </c>
      <c r="B16" s="50">
        <v>9</v>
      </c>
      <c r="C16" s="50">
        <v>9</v>
      </c>
      <c r="D16" s="50">
        <v>9</v>
      </c>
      <c r="E16" s="60" t="s">
        <v>99</v>
      </c>
      <c r="F16" s="60" t="s">
        <v>99</v>
      </c>
      <c r="G16" s="60"/>
      <c r="H16" s="492">
        <v>3</v>
      </c>
      <c r="I16" s="50">
        <v>6</v>
      </c>
      <c r="J16" s="50">
        <v>63</v>
      </c>
      <c r="K16" s="50">
        <v>9</v>
      </c>
      <c r="L16" s="50">
        <v>39</v>
      </c>
      <c r="M16" s="50">
        <v>89</v>
      </c>
      <c r="N16" s="50">
        <v>10</v>
      </c>
      <c r="O16" s="129">
        <v>10</v>
      </c>
      <c r="P16" s="129">
        <v>10</v>
      </c>
      <c r="Q16" s="50">
        <v>10</v>
      </c>
      <c r="R16" s="50">
        <v>10</v>
      </c>
      <c r="S16" s="50">
        <v>10</v>
      </c>
      <c r="T16" s="50">
        <v>10</v>
      </c>
      <c r="U16" s="50">
        <v>10</v>
      </c>
      <c r="V16" s="50">
        <v>10</v>
      </c>
      <c r="W16" s="50">
        <v>23</v>
      </c>
    </row>
  </sheetData>
  <sheetProtection autoFilter="0" deleteColumns="0" deleteRows="0" formatCells="1" formatColumns="0" formatRows="0" insertColumns="1" insertHyperlinks="1" insertRows="0" pivotTables="1" selectLockedCells="0" selectUnlockedCells="0" sheet="0" sort="0"/>
  <mergeCells count="5">
    <mergeCell ref="J15:M15"/>
    <mergeCell ref="I5:L5"/>
    <mergeCell ref="I6:L6"/>
    <mergeCell ref="I8:L8"/>
    <mergeCell ref="M8:M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9007E-0058-4542-B4FF-00B40028009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 xr:uid="{005F0043-00B4-4433-B3F8-00240089003F}"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62"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63" width="8.00390625"/>
    <col customWidth="1" min="22" max="26" style="53" width="8.00390625"/>
    <col customWidth="1" min="27" max="31" style="56" width="8.00390625"/>
    <col customWidth="1" hidden="1" min="32" max="32" style="50" width="10.421875"/>
  </cols>
  <sheetData>
    <row r="1" s="53" customFormat="1" ht="22.5" hidden="1" customHeight="1">
      <c r="A1" s="762"/>
      <c r="C1" s="57"/>
      <c r="D1" s="53"/>
      <c r="H1" s="53">
        <v>4</v>
      </c>
      <c r="I1" s="53">
        <v>4</v>
      </c>
      <c r="L1" s="57"/>
      <c r="M1" s="57"/>
      <c r="R1" s="57"/>
      <c r="AF1" s="53" t="s">
        <v>14</v>
      </c>
    </row>
    <row r="2" s="53" customFormat="1" ht="22.5" hidden="1" customHeight="1">
      <c r="A2" s="762"/>
      <c r="C2" s="57"/>
      <c r="D2" s="772"/>
      <c r="E2" s="157"/>
      <c r="F2" s="159"/>
      <c r="G2" s="157" t="s">
        <v>554</v>
      </c>
      <c r="H2" s="521"/>
      <c r="I2" s="521"/>
      <c r="J2" s="773" t="s">
        <v>704</v>
      </c>
      <c r="K2" s="766"/>
      <c r="L2" s="57"/>
      <c r="M2" s="57"/>
      <c r="R2" s="57"/>
      <c r="U2" s="763"/>
      <c r="AA2" s="56"/>
      <c r="AB2" s="56"/>
      <c r="AC2" s="56"/>
      <c r="AD2" s="56"/>
      <c r="AE2" s="56"/>
      <c r="AF2" s="53">
        <v>0</v>
      </c>
    </row>
    <row r="3" ht="11.25" hidden="1" customHeight="1">
      <c r="AF3" s="50">
        <v>0</v>
      </c>
    </row>
    <row r="4" s="56" customFormat="1" ht="11.25" hidden="1" customHeight="1">
      <c r="A4" s="762"/>
      <c r="B4" s="53"/>
      <c r="C4" s="57"/>
      <c r="D4" s="56"/>
      <c r="J4" s="56">
        <v>4</v>
      </c>
      <c r="K4" s="53"/>
      <c r="L4" s="57"/>
      <c r="M4" s="57"/>
      <c r="N4" s="53"/>
      <c r="O4" s="53"/>
      <c r="P4" s="53"/>
      <c r="Q4" s="53"/>
      <c r="R4" s="57"/>
      <c r="S4" s="53"/>
      <c r="T4" s="53"/>
      <c r="U4" s="763"/>
      <c r="V4" s="53"/>
      <c r="W4" s="53"/>
      <c r="X4" s="53"/>
      <c r="Y4" s="53"/>
      <c r="Z4" s="53"/>
      <c r="AF4" s="56">
        <v>0</v>
      </c>
    </row>
    <row r="5" ht="11.5" customHeight="1">
      <c r="AF5" s="50">
        <v>11</v>
      </c>
    </row>
    <row r="6" ht="31.5" customHeight="1">
      <c r="E6" s="315" t="s">
        <v>705</v>
      </c>
      <c r="F6" s="315"/>
      <c r="G6" s="315"/>
      <c r="H6" s="315"/>
      <c r="I6" s="315"/>
      <c r="J6" s="240"/>
      <c r="AF6" s="50">
        <v>30</v>
      </c>
    </row>
    <row r="7" ht="11.5" customHeight="1">
      <c r="E7" s="320" t="str">
        <f>IF(org=0,"Не определено",org)</f>
        <v xml:space="preserve">филиал Пермская ГРЭС АО "Интер РАО - Электрогенерация"</v>
      </c>
      <c r="F7" s="320"/>
      <c r="G7" s="320"/>
      <c r="H7" s="320"/>
      <c r="I7" s="320"/>
      <c r="AF7" s="50">
        <v>11</v>
      </c>
    </row>
    <row r="8" ht="11.5" customHeight="1">
      <c r="E8" s="776"/>
      <c r="F8" s="776"/>
      <c r="G8" s="776"/>
      <c r="H8" s="776"/>
      <c r="I8" s="776"/>
      <c r="AF8" s="50">
        <v>11</v>
      </c>
    </row>
    <row r="9" s="57" customFormat="1" ht="4.2000000000000002" customHeight="1">
      <c r="A9" s="545"/>
      <c r="D9" s="57"/>
      <c r="H9" s="777"/>
      <c r="I9" s="777" t="s">
        <v>117</v>
      </c>
      <c r="AF9" s="57">
        <v>4</v>
      </c>
    </row>
    <row r="10" ht="11.5" customHeight="1">
      <c r="E10" s="778"/>
      <c r="F10" s="779" t="s">
        <v>105</v>
      </c>
      <c r="G10" s="780"/>
      <c r="H10" s="781" t="str">
        <f>IF(H9="","",INDEX(DIFFERENTIATION_UNMERGE_VD,MATCH(H9,DIFFERENTIATION_ID_DIFF,0)))</f>
        <v/>
      </c>
      <c r="I10" s="781">
        <f>IF(I9="","",INDEX(DIFFERENTIATION_UNMERGE_VD,MATCH(I9,DIFFERENTIATION_ID_DIFF,0)))</f>
        <v>0</v>
      </c>
      <c r="J10" s="157"/>
      <c r="AF10" s="50">
        <v>11</v>
      </c>
    </row>
    <row r="11" ht="11.5" customHeight="1">
      <c r="E11" s="778"/>
      <c r="F11" s="779" t="s">
        <v>566</v>
      </c>
      <c r="G11" s="780"/>
      <c r="H11" s="781" t="str">
        <f>IF(H9="","",INDEX(DIFFERENTIATION_UNMERGE_AREA,MATCH(H9,DIFFERENTIATION_ID_DIFF,0)))</f>
        <v/>
      </c>
      <c r="I11" s="781" t="str">
        <f>IF(I9="","",INDEX(DIFFERENTIATION_UNMERGE_AREA,MATCH(I9,DIFFERENTIATION_ID_DIFF,0)))</f>
        <v/>
      </c>
      <c r="J11" s="157"/>
      <c r="AF11" s="50">
        <v>11</v>
      </c>
    </row>
    <row r="12" ht="1.05" customHeight="1">
      <c r="E12" s="863"/>
      <c r="F12" s="893" t="s">
        <v>567</v>
      </c>
      <c r="G12" s="894"/>
      <c r="H12" s="895" t="str">
        <f>IF(H9="","",INDEX(DIFFERENTIATION_UNMERGE_SYSTEM,MATCH(H9,DIFFERENTIATION_ID_DIFF,0)))</f>
        <v/>
      </c>
      <c r="I12" s="895" t="str">
        <f>IF(I9="","",INDEX(DIFFERENTIATION_UNMERGE_SYSTEM,MATCH(I9,DIFFERENTIATION_ID_DIFF,0)))</f>
        <v xml:space="preserve">без дифференциации</v>
      </c>
      <c r="J12" s="157"/>
      <c r="AF12" s="50">
        <v>1</v>
      </c>
    </row>
    <row r="13" ht="11.5" customHeight="1">
      <c r="E13" s="782" t="s">
        <v>302</v>
      </c>
      <c r="F13" s="783"/>
      <c r="G13" s="783"/>
      <c r="H13" s="779"/>
      <c r="I13" s="779"/>
      <c r="J13" s="157"/>
      <c r="AF13" s="50">
        <v>11</v>
      </c>
    </row>
    <row r="14" ht="24" customHeight="1">
      <c r="E14" s="157" t="s">
        <v>88</v>
      </c>
      <c r="F14" s="157" t="s">
        <v>304</v>
      </c>
      <c r="G14" s="157" t="s">
        <v>568</v>
      </c>
      <c r="H14" s="157" t="s">
        <v>305</v>
      </c>
      <c r="I14" s="157" t="s">
        <v>305</v>
      </c>
      <c r="J14" s="157"/>
      <c r="AF14" s="50">
        <v>23</v>
      </c>
    </row>
    <row r="15" ht="19.949999999999999" customHeight="1">
      <c r="D15" s="125"/>
      <c r="E15" s="866" t="s">
        <v>109</v>
      </c>
      <c r="F15" s="330" t="s">
        <v>706</v>
      </c>
      <c r="G15" s="157" t="s">
        <v>554</v>
      </c>
      <c r="H15" s="784"/>
      <c r="I15" s="784"/>
      <c r="J15" s="499" t="s">
        <v>707</v>
      </c>
      <c r="K15" s="766" t="s">
        <v>632</v>
      </c>
      <c r="AF15" s="50">
        <v>19</v>
      </c>
    </row>
    <row r="16" ht="35.649999999999999" customHeight="1">
      <c r="D16" s="125"/>
      <c r="E16" s="866" t="s">
        <v>110</v>
      </c>
      <c r="F16" s="330" t="s">
        <v>708</v>
      </c>
      <c r="G16" s="157" t="s">
        <v>554</v>
      </c>
      <c r="H16" s="785">
        <f>SUM(H17,H20:H32)</f>
        <v>0</v>
      </c>
      <c r="I16" s="785">
        <f>SUM(I17,I20,I23,I26,I29:I32)</f>
        <v>0</v>
      </c>
      <c r="J16" s="499" t="s">
        <v>709</v>
      </c>
      <c r="K16" s="766" t="s">
        <v>632</v>
      </c>
      <c r="AF16" s="50">
        <v>34</v>
      </c>
    </row>
    <row r="17" ht="19.949999999999999" customHeight="1">
      <c r="D17" s="125"/>
      <c r="E17" s="872" t="s">
        <v>710</v>
      </c>
      <c r="F17" s="686" t="s">
        <v>711</v>
      </c>
      <c r="G17" s="72" t="s">
        <v>554</v>
      </c>
      <c r="H17" s="784"/>
      <c r="I17" s="784"/>
      <c r="J17" s="499" t="s">
        <v>712</v>
      </c>
      <c r="K17" s="766"/>
      <c r="AF17" s="50">
        <v>19</v>
      </c>
    </row>
    <row r="18" ht="24" customHeight="1">
      <c r="D18" s="125"/>
      <c r="E18" s="872" t="s">
        <v>713</v>
      </c>
      <c r="F18" s="800" t="s">
        <v>714</v>
      </c>
      <c r="G18" s="72" t="s">
        <v>554</v>
      </c>
      <c r="H18" s="784"/>
      <c r="I18" s="784"/>
      <c r="J18" s="499" t="s">
        <v>715</v>
      </c>
      <c r="K18" s="766"/>
      <c r="AF18" s="50">
        <v>23</v>
      </c>
    </row>
    <row r="19" ht="35.649999999999999" customHeight="1">
      <c r="D19" s="125"/>
      <c r="E19" s="872" t="s">
        <v>716</v>
      </c>
      <c r="F19" s="800" t="s">
        <v>717</v>
      </c>
      <c r="G19" s="72" t="s">
        <v>554</v>
      </c>
      <c r="H19" s="784"/>
      <c r="I19" s="784"/>
      <c r="J19" s="499"/>
      <c r="K19" s="766"/>
      <c r="AF19" s="50">
        <v>34</v>
      </c>
    </row>
    <row r="20" ht="19.949999999999999" customHeight="1">
      <c r="D20" s="125"/>
      <c r="E20" s="872" t="s">
        <v>309</v>
      </c>
      <c r="F20" s="686" t="s">
        <v>718</v>
      </c>
      <c r="G20" s="72" t="s">
        <v>554</v>
      </c>
      <c r="H20" s="784"/>
      <c r="I20" s="784"/>
      <c r="J20" s="499" t="s">
        <v>719</v>
      </c>
      <c r="K20" s="766"/>
      <c r="AF20" s="50">
        <v>19</v>
      </c>
    </row>
    <row r="21" ht="19.949999999999999" customHeight="1">
      <c r="D21" s="125"/>
      <c r="E21" s="872" t="s">
        <v>720</v>
      </c>
      <c r="F21" s="800" t="s">
        <v>721</v>
      </c>
      <c r="G21" s="72" t="s">
        <v>554</v>
      </c>
      <c r="H21" s="784"/>
      <c r="I21" s="784"/>
      <c r="J21" s="499"/>
      <c r="K21" s="766"/>
      <c r="AF21" s="50">
        <v>19</v>
      </c>
    </row>
    <row r="22" ht="19.949999999999999" customHeight="1">
      <c r="D22" s="125"/>
      <c r="E22" s="872" t="s">
        <v>722</v>
      </c>
      <c r="F22" s="800" t="s">
        <v>723</v>
      </c>
      <c r="G22" s="72" t="s">
        <v>554</v>
      </c>
      <c r="H22" s="784"/>
      <c r="I22" s="784"/>
      <c r="J22" s="499"/>
      <c r="K22" s="766"/>
      <c r="AF22" s="50">
        <v>19</v>
      </c>
    </row>
    <row r="23" ht="24" customHeight="1">
      <c r="D23" s="125"/>
      <c r="E23" s="872" t="s">
        <v>312</v>
      </c>
      <c r="F23" s="686" t="s">
        <v>724</v>
      </c>
      <c r="G23" s="72" t="s">
        <v>554</v>
      </c>
      <c r="H23" s="784"/>
      <c r="I23" s="784"/>
      <c r="J23" s="499" t="s">
        <v>725</v>
      </c>
      <c r="K23" s="766"/>
      <c r="AF23" s="50">
        <v>23</v>
      </c>
    </row>
    <row r="24" ht="19.949999999999999" customHeight="1">
      <c r="D24" s="125"/>
      <c r="E24" s="872" t="s">
        <v>726</v>
      </c>
      <c r="F24" s="800" t="s">
        <v>727</v>
      </c>
      <c r="G24" s="72" t="s">
        <v>554</v>
      </c>
      <c r="H24" s="784"/>
      <c r="I24" s="784"/>
      <c r="J24" s="499"/>
      <c r="K24" s="766"/>
      <c r="AF24" s="50">
        <v>19</v>
      </c>
    </row>
    <row r="25" ht="35.649999999999999" customHeight="1">
      <c r="D25" s="125"/>
      <c r="E25" s="872" t="s">
        <v>728</v>
      </c>
      <c r="F25" s="800" t="s">
        <v>729</v>
      </c>
      <c r="G25" s="72" t="s">
        <v>554</v>
      </c>
      <c r="H25" s="784"/>
      <c r="I25" s="784"/>
      <c r="J25" s="499"/>
      <c r="K25" s="766"/>
      <c r="AF25" s="50">
        <v>34</v>
      </c>
    </row>
    <row r="26" ht="24" customHeight="1">
      <c r="D26" s="125"/>
      <c r="E26" s="872" t="s">
        <v>730</v>
      </c>
      <c r="F26" s="686" t="s">
        <v>731</v>
      </c>
      <c r="G26" s="72" t="s">
        <v>554</v>
      </c>
      <c r="H26" s="784"/>
      <c r="I26" s="784"/>
      <c r="J26" s="499" t="s">
        <v>732</v>
      </c>
      <c r="K26" s="766"/>
      <c r="AF26" s="50">
        <v>23</v>
      </c>
    </row>
    <row r="27" ht="19.949999999999999" customHeight="1">
      <c r="D27" s="125"/>
      <c r="E27" s="874" t="s">
        <v>733</v>
      </c>
      <c r="F27" s="800" t="s">
        <v>734</v>
      </c>
      <c r="G27" s="72" t="s">
        <v>554</v>
      </c>
      <c r="H27" s="870"/>
      <c r="I27" s="870"/>
      <c r="J27" s="499"/>
      <c r="K27" s="766"/>
      <c r="AF27" s="50">
        <v>19</v>
      </c>
    </row>
    <row r="28" ht="19.949999999999999" customHeight="1">
      <c r="D28" s="125"/>
      <c r="E28" s="874" t="s">
        <v>735</v>
      </c>
      <c r="F28" s="800" t="s">
        <v>736</v>
      </c>
      <c r="G28" s="72" t="s">
        <v>554</v>
      </c>
      <c r="H28" s="870"/>
      <c r="I28" s="870"/>
      <c r="J28" s="499"/>
      <c r="K28" s="766"/>
      <c r="AF28" s="50">
        <v>19</v>
      </c>
    </row>
    <row r="29" ht="19.949999999999999" customHeight="1">
      <c r="D29" s="125"/>
      <c r="E29" s="874" t="s">
        <v>737</v>
      </c>
      <c r="F29" s="686" t="s">
        <v>738</v>
      </c>
      <c r="G29" s="72" t="s">
        <v>554</v>
      </c>
      <c r="H29" s="870"/>
      <c r="I29" s="870"/>
      <c r="J29" s="499"/>
      <c r="K29" s="766"/>
      <c r="AF29" s="50">
        <v>19</v>
      </c>
    </row>
    <row r="30" ht="19.949999999999999" customHeight="1">
      <c r="D30" s="125"/>
      <c r="E30" s="874" t="s">
        <v>739</v>
      </c>
      <c r="F30" s="686" t="s">
        <v>740</v>
      </c>
      <c r="G30" s="72" t="s">
        <v>554</v>
      </c>
      <c r="H30" s="870"/>
      <c r="I30" s="870"/>
      <c r="J30" s="499"/>
      <c r="K30" s="766"/>
      <c r="AF30" s="50">
        <v>19</v>
      </c>
    </row>
    <row r="31" ht="19.949999999999999" customHeight="1">
      <c r="D31" s="125"/>
      <c r="E31" s="874" t="s">
        <v>741</v>
      </c>
      <c r="F31" s="686" t="s">
        <v>742</v>
      </c>
      <c r="G31" s="72" t="s">
        <v>554</v>
      </c>
      <c r="H31" s="870"/>
      <c r="I31" s="870"/>
      <c r="J31" s="499"/>
      <c r="K31" s="766"/>
      <c r="AF31" s="50">
        <v>19</v>
      </c>
    </row>
    <row r="32" s="53" customFormat="1" ht="35.649999999999999" customHeight="1">
      <c r="A32" s="762"/>
      <c r="C32" s="57"/>
      <c r="D32" s="125"/>
      <c r="E32" s="874" t="s">
        <v>743</v>
      </c>
      <c r="F32" s="686" t="s">
        <v>744</v>
      </c>
      <c r="G32" s="324" t="s">
        <v>554</v>
      </c>
      <c r="H32" s="807">
        <f>SUM(H33:H34)</f>
        <v>0</v>
      </c>
      <c r="I32" s="807">
        <f>SUM(I33:I34)</f>
        <v>0</v>
      </c>
      <c r="J32" s="499" t="s">
        <v>745</v>
      </c>
      <c r="K32" s="766"/>
      <c r="L32" s="57"/>
      <c r="M32" s="57"/>
      <c r="R32" s="57"/>
      <c r="U32" s="763"/>
      <c r="AA32" s="56"/>
      <c r="AB32" s="56"/>
      <c r="AC32" s="56"/>
      <c r="AD32" s="56"/>
      <c r="AE32" s="56"/>
      <c r="AF32" s="53">
        <v>34</v>
      </c>
    </row>
    <row r="33" s="57" customFormat="1" ht="1.05" customHeight="1">
      <c r="A33" s="545"/>
      <c r="D33" s="545"/>
      <c r="E33" s="158" t="str">
        <f>E32&amp;".0"</f>
        <v>2.8.0</v>
      </c>
      <c r="F33" s="808"/>
      <c r="G33" s="158"/>
      <c r="H33" s="809"/>
      <c r="I33" s="809"/>
      <c r="J33" s="810"/>
      <c r="AF33" s="57">
        <v>1</v>
      </c>
    </row>
    <row r="34" s="53" customFormat="1" ht="19.949999999999999" customHeight="1">
      <c r="A34" s="762"/>
      <c r="C34" s="57"/>
      <c r="D34" s="128"/>
      <c r="E34" s="797"/>
      <c r="F34" s="896" t="s">
        <v>579</v>
      </c>
      <c r="G34" s="798"/>
      <c r="H34" s="799"/>
      <c r="I34" s="799"/>
      <c r="J34" s="563" t="s">
        <v>746</v>
      </c>
      <c r="K34" s="766"/>
      <c r="L34" s="57"/>
      <c r="M34" s="57"/>
      <c r="R34" s="57"/>
      <c r="U34" s="763"/>
      <c r="AA34" s="56"/>
      <c r="AB34" s="56"/>
      <c r="AC34" s="56"/>
      <c r="AD34" s="56"/>
      <c r="AE34" s="56"/>
      <c r="AF34" s="53">
        <v>19</v>
      </c>
    </row>
    <row r="35" ht="60" customHeight="1">
      <c r="D35" s="125"/>
      <c r="E35" s="874" t="s">
        <v>747</v>
      </c>
      <c r="F35" s="686" t="s">
        <v>748</v>
      </c>
      <c r="G35" s="72" t="s">
        <v>554</v>
      </c>
      <c r="H35" s="870"/>
      <c r="I35" s="870"/>
      <c r="J35" s="499" t="s">
        <v>749</v>
      </c>
      <c r="K35" s="766"/>
      <c r="AF35" s="50">
        <v>57</v>
      </c>
    </row>
    <row r="36" s="53" customFormat="1" ht="24" customHeight="1">
      <c r="A36" s="802" t="s">
        <v>580</v>
      </c>
      <c r="C36" s="57"/>
      <c r="D36" s="125"/>
      <c r="E36" s="872" t="s">
        <v>90</v>
      </c>
      <c r="F36" s="330" t="s">
        <v>750</v>
      </c>
      <c r="G36" s="72" t="s">
        <v>554</v>
      </c>
      <c r="H36" s="784"/>
      <c r="I36" s="784"/>
      <c r="J36" s="499" t="s">
        <v>751</v>
      </c>
      <c r="K36" s="766"/>
      <c r="L36" s="57"/>
      <c r="M36" s="57"/>
      <c r="R36" s="57"/>
      <c r="U36" s="763"/>
      <c r="AA36" s="56"/>
      <c r="AB36" s="56"/>
      <c r="AC36" s="56"/>
      <c r="AD36" s="56"/>
      <c r="AE36" s="56"/>
      <c r="AF36" s="53">
        <v>23</v>
      </c>
    </row>
    <row r="37" s="53" customFormat="1" ht="35.649999999999999" customHeight="1">
      <c r="A37" s="802"/>
      <c r="C37" s="57"/>
      <c r="D37" s="125"/>
      <c r="E37" s="872" t="s">
        <v>326</v>
      </c>
      <c r="F37" s="686" t="s">
        <v>752</v>
      </c>
      <c r="G37" s="72"/>
      <c r="H37" s="784"/>
      <c r="I37" s="784"/>
      <c r="J37" s="499"/>
      <c r="K37" s="766"/>
      <c r="L37" s="57"/>
      <c r="M37" s="57"/>
      <c r="R37" s="57"/>
      <c r="U37" s="763"/>
      <c r="AA37" s="56"/>
      <c r="AB37" s="56"/>
      <c r="AC37" s="56"/>
      <c r="AD37" s="56"/>
      <c r="AE37" s="56"/>
      <c r="AF37" s="53">
        <v>34</v>
      </c>
    </row>
    <row r="38" s="53" customFormat="1" ht="19.949999999999999" customHeight="1">
      <c r="A38" s="762"/>
      <c r="C38" s="57"/>
      <c r="D38" s="803"/>
      <c r="E38" s="872" t="s">
        <v>91</v>
      </c>
      <c r="F38" s="330" t="s">
        <v>753</v>
      </c>
      <c r="G38" s="72" t="s">
        <v>554</v>
      </c>
      <c r="H38" s="784"/>
      <c r="I38" s="784"/>
      <c r="J38" s="499" t="s">
        <v>754</v>
      </c>
      <c r="K38" s="766"/>
      <c r="L38" s="57"/>
      <c r="M38" s="57"/>
      <c r="R38" s="57"/>
      <c r="U38" s="763"/>
      <c r="AA38" s="56"/>
      <c r="AB38" s="56"/>
      <c r="AC38" s="56"/>
      <c r="AD38" s="56"/>
      <c r="AE38" s="56"/>
      <c r="AF38" s="53">
        <v>19</v>
      </c>
    </row>
    <row r="39" s="53" customFormat="1" ht="24" customHeight="1">
      <c r="A39" s="762"/>
      <c r="C39" s="57"/>
      <c r="D39" s="803"/>
      <c r="E39" s="872" t="s">
        <v>755</v>
      </c>
      <c r="F39" s="686" t="s">
        <v>756</v>
      </c>
      <c r="G39" s="72" t="s">
        <v>554</v>
      </c>
      <c r="H39" s="784"/>
      <c r="I39" s="784"/>
      <c r="J39" s="499" t="s">
        <v>757</v>
      </c>
      <c r="K39" s="766"/>
      <c r="L39" s="57"/>
      <c r="M39" s="57"/>
      <c r="R39" s="57"/>
      <c r="U39" s="763"/>
      <c r="AA39" s="56"/>
      <c r="AB39" s="56"/>
      <c r="AC39" s="56"/>
      <c r="AD39" s="56"/>
      <c r="AE39" s="56"/>
      <c r="AF39" s="53">
        <v>23</v>
      </c>
    </row>
    <row r="40" s="53" customFormat="1" ht="24" customHeight="1">
      <c r="A40" s="762"/>
      <c r="C40" s="57"/>
      <c r="D40" s="125"/>
      <c r="E40" s="872" t="s">
        <v>758</v>
      </c>
      <c r="F40" s="800" t="s">
        <v>759</v>
      </c>
      <c r="G40" s="72" t="s">
        <v>554</v>
      </c>
      <c r="H40" s="784"/>
      <c r="I40" s="784"/>
      <c r="J40" s="499" t="s">
        <v>760</v>
      </c>
      <c r="K40" s="766"/>
      <c r="L40" s="57"/>
      <c r="M40" s="57"/>
      <c r="R40" s="57"/>
      <c r="U40" s="763"/>
      <c r="AA40" s="56"/>
      <c r="AB40" s="56"/>
      <c r="AC40" s="56"/>
      <c r="AD40" s="56"/>
      <c r="AE40" s="56"/>
      <c r="AF40" s="53">
        <v>23</v>
      </c>
    </row>
    <row r="41" s="53" customFormat="1" ht="24" customHeight="1">
      <c r="A41" s="762"/>
      <c r="C41" s="57"/>
      <c r="D41" s="125"/>
      <c r="E41" s="872" t="s">
        <v>761</v>
      </c>
      <c r="F41" s="800" t="s">
        <v>762</v>
      </c>
      <c r="G41" s="72" t="s">
        <v>554</v>
      </c>
      <c r="H41" s="784"/>
      <c r="I41" s="784"/>
      <c r="J41" s="499" t="s">
        <v>763</v>
      </c>
      <c r="K41" s="766"/>
      <c r="L41" s="57"/>
      <c r="M41" s="57"/>
      <c r="R41" s="57"/>
      <c r="U41" s="763"/>
      <c r="AA41" s="56"/>
      <c r="AB41" s="56"/>
      <c r="AC41" s="56"/>
      <c r="AD41" s="56"/>
      <c r="AE41" s="56"/>
      <c r="AF41" s="53">
        <v>23</v>
      </c>
    </row>
    <row r="42" s="53" customFormat="1" ht="24" customHeight="1">
      <c r="A42" s="762"/>
      <c r="C42" s="57"/>
      <c r="D42" s="125"/>
      <c r="E42" s="872" t="s">
        <v>764</v>
      </c>
      <c r="F42" s="800" t="s">
        <v>765</v>
      </c>
      <c r="G42" s="72" t="s">
        <v>554</v>
      </c>
      <c r="H42" s="784"/>
      <c r="I42" s="784"/>
      <c r="J42" s="499" t="s">
        <v>766</v>
      </c>
      <c r="K42" s="766"/>
      <c r="L42" s="57"/>
      <c r="M42" s="57"/>
      <c r="R42" s="57"/>
      <c r="U42" s="763"/>
      <c r="AA42" s="56"/>
      <c r="AB42" s="56"/>
      <c r="AC42" s="56"/>
      <c r="AD42" s="56"/>
      <c r="AE42" s="56"/>
      <c r="AF42" s="53">
        <v>23</v>
      </c>
    </row>
    <row r="43" s="53" customFormat="1" ht="35.649999999999999" customHeight="1">
      <c r="A43" s="762"/>
      <c r="C43" s="57" t="s">
        <v>590</v>
      </c>
      <c r="D43" s="125"/>
      <c r="E43" s="872" t="s">
        <v>111</v>
      </c>
      <c r="F43" s="330" t="s">
        <v>631</v>
      </c>
      <c r="G43" s="157" t="s">
        <v>767</v>
      </c>
      <c r="H43" s="815"/>
      <c r="I43" s="815"/>
      <c r="J43" s="499" t="s">
        <v>768</v>
      </c>
      <c r="K43" s="766"/>
      <c r="L43" s="57"/>
      <c r="M43" s="57"/>
      <c r="R43" s="57"/>
      <c r="U43" s="763"/>
      <c r="AA43" s="56"/>
      <c r="AB43" s="56"/>
      <c r="AC43" s="56"/>
      <c r="AD43" s="56"/>
      <c r="AE43" s="56"/>
      <c r="AF43" s="53">
        <v>34</v>
      </c>
    </row>
    <row r="44" s="53" customFormat="1" ht="35.649999999999999" customHeight="1">
      <c r="A44" s="762"/>
      <c r="C44" s="57"/>
      <c r="D44" s="125"/>
      <c r="E44" s="872" t="s">
        <v>92</v>
      </c>
      <c r="F44" s="330" t="s">
        <v>769</v>
      </c>
      <c r="G44" s="72" t="s">
        <v>770</v>
      </c>
      <c r="H44" s="774"/>
      <c r="I44" s="774"/>
      <c r="J44" s="499" t="s">
        <v>771</v>
      </c>
      <c r="K44" s="766"/>
      <c r="L44" s="57"/>
      <c r="M44" s="57"/>
      <c r="R44" s="57"/>
      <c r="U44" s="763"/>
      <c r="AA44" s="56"/>
      <c r="AB44" s="56"/>
      <c r="AC44" s="56"/>
      <c r="AD44" s="56"/>
      <c r="AE44" s="56"/>
      <c r="AF44" s="53">
        <v>34</v>
      </c>
    </row>
    <row r="45" s="53" customFormat="1" ht="24" customHeight="1">
      <c r="A45" s="762"/>
      <c r="C45" s="57"/>
      <c r="D45" s="125"/>
      <c r="E45" s="872" t="s">
        <v>93</v>
      </c>
      <c r="F45" s="330" t="s">
        <v>772</v>
      </c>
      <c r="G45" s="72" t="s">
        <v>773</v>
      </c>
      <c r="H45" s="774"/>
      <c r="I45" s="774"/>
      <c r="J45" s="499" t="s">
        <v>774</v>
      </c>
      <c r="K45" s="766"/>
      <c r="L45" s="57"/>
      <c r="M45" s="57"/>
      <c r="R45" s="57"/>
      <c r="U45" s="763"/>
      <c r="AA45" s="56"/>
      <c r="AB45" s="56"/>
      <c r="AC45" s="56"/>
      <c r="AD45" s="56"/>
      <c r="AE45" s="56"/>
      <c r="AF45" s="53">
        <v>23</v>
      </c>
    </row>
    <row r="46" s="53" customFormat="1" ht="19.949999999999999" customHeight="1">
      <c r="A46" s="762"/>
      <c r="C46" s="57"/>
      <c r="D46" s="125"/>
      <c r="E46" s="872" t="s">
        <v>112</v>
      </c>
      <c r="F46" s="330" t="s">
        <v>775</v>
      </c>
      <c r="G46" s="72" t="s">
        <v>592</v>
      </c>
      <c r="H46" s="804"/>
      <c r="I46" s="804"/>
      <c r="J46" s="499"/>
      <c r="K46" s="766"/>
      <c r="L46" s="57"/>
      <c r="M46" s="57"/>
      <c r="R46" s="57"/>
      <c r="U46" s="763"/>
      <c r="AA46" s="56"/>
      <c r="AB46" s="56"/>
      <c r="AC46" s="56"/>
      <c r="AD46" s="56"/>
      <c r="AE46" s="56"/>
      <c r="AF46" s="53">
        <v>19</v>
      </c>
    </row>
    <row r="47" ht="11.5" customHeight="1">
      <c r="D47" s="125"/>
      <c r="AF47" s="50">
        <v>11</v>
      </c>
    </row>
    <row r="48" s="131" customFormat="1" ht="11.5" customHeight="1">
      <c r="A48" s="762"/>
      <c r="B48" s="57"/>
      <c r="C48" s="57"/>
      <c r="D48" s="131"/>
      <c r="K48" s="53"/>
      <c r="L48" s="57"/>
      <c r="M48" s="57"/>
      <c r="N48" s="53"/>
      <c r="O48" s="53"/>
      <c r="P48" s="53"/>
      <c r="Q48" s="53"/>
      <c r="R48" s="57"/>
      <c r="S48" s="53"/>
      <c r="T48" s="53"/>
      <c r="U48" s="763"/>
      <c r="V48" s="53"/>
      <c r="W48" s="53"/>
      <c r="X48" s="53"/>
      <c r="Y48" s="53"/>
      <c r="Z48" s="53"/>
      <c r="AA48" s="56"/>
      <c r="AB48" s="54"/>
      <c r="AC48" s="54"/>
      <c r="AD48" s="54"/>
      <c r="AE48" s="54"/>
      <c r="AF48" s="131">
        <v>11</v>
      </c>
    </row>
    <row r="49" s="131" customFormat="1" ht="11.5" customHeight="1">
      <c r="A49" s="762"/>
      <c r="B49" s="57"/>
      <c r="C49" s="57"/>
      <c r="D49" s="131"/>
      <c r="K49" s="53"/>
      <c r="L49" s="57"/>
      <c r="M49" s="57"/>
      <c r="N49" s="53"/>
      <c r="O49" s="53"/>
      <c r="P49" s="53"/>
      <c r="Q49" s="53"/>
      <c r="R49" s="57"/>
      <c r="S49" s="53"/>
      <c r="T49" s="53"/>
      <c r="U49" s="763"/>
      <c r="V49" s="53"/>
      <c r="W49" s="53"/>
      <c r="X49" s="53"/>
      <c r="Y49" s="53"/>
      <c r="Z49" s="53"/>
      <c r="AA49" s="56"/>
      <c r="AB49" s="54"/>
      <c r="AC49" s="54"/>
      <c r="AD49" s="54"/>
      <c r="AE49" s="54"/>
      <c r="AF49" s="131">
        <v>11</v>
      </c>
    </row>
    <row r="50" s="131" customFormat="1" ht="11.5" customHeight="1">
      <c r="A50" s="762"/>
      <c r="B50" s="57"/>
      <c r="C50" s="57"/>
      <c r="D50" s="131"/>
      <c r="H50" s="54"/>
      <c r="I50" s="54"/>
      <c r="K50" s="53"/>
      <c r="L50" s="57"/>
      <c r="M50" s="57"/>
      <c r="N50" s="53"/>
      <c r="O50" s="53"/>
      <c r="P50" s="53"/>
      <c r="Q50" s="53"/>
      <c r="R50" s="57"/>
      <c r="S50" s="53"/>
      <c r="T50" s="53"/>
      <c r="U50" s="763"/>
      <c r="V50" s="53"/>
      <c r="W50" s="53"/>
      <c r="X50" s="53"/>
      <c r="Y50" s="53"/>
      <c r="Z50" s="53"/>
      <c r="AA50" s="56"/>
      <c r="AB50" s="54"/>
      <c r="AC50" s="54"/>
      <c r="AD50" s="54"/>
      <c r="AE50" s="54"/>
      <c r="AF50" s="131">
        <v>11</v>
      </c>
    </row>
    <row r="51" s="131" customFormat="1" ht="11.5" customHeight="1">
      <c r="A51" s="762"/>
      <c r="B51" s="57"/>
      <c r="C51" s="57"/>
      <c r="D51" s="131"/>
      <c r="K51" s="53"/>
      <c r="L51" s="57"/>
      <c r="M51" s="57"/>
      <c r="N51" s="53"/>
      <c r="O51" s="53"/>
      <c r="P51" s="53"/>
      <c r="Q51" s="53"/>
      <c r="R51" s="57"/>
      <c r="S51" s="53"/>
      <c r="T51" s="53"/>
      <c r="U51" s="763"/>
      <c r="V51" s="53"/>
      <c r="W51" s="53"/>
      <c r="X51" s="53"/>
      <c r="Y51" s="53"/>
      <c r="Z51" s="53"/>
      <c r="AA51" s="56"/>
      <c r="AB51" s="54"/>
      <c r="AC51" s="54"/>
      <c r="AD51" s="54"/>
      <c r="AE51" s="54"/>
      <c r="AF51" s="131">
        <v>11</v>
      </c>
    </row>
    <row r="52" s="131" customFormat="1" ht="11.5" customHeight="1">
      <c r="A52" s="762"/>
      <c r="B52" s="57"/>
      <c r="C52" s="57"/>
      <c r="D52" s="131"/>
      <c r="K52" s="53"/>
      <c r="L52" s="57"/>
      <c r="M52" s="57"/>
      <c r="N52" s="53"/>
      <c r="O52" s="53"/>
      <c r="P52" s="53"/>
      <c r="Q52" s="53"/>
      <c r="R52" s="57"/>
      <c r="S52" s="53"/>
      <c r="T52" s="53"/>
      <c r="U52" s="763"/>
      <c r="V52" s="53"/>
      <c r="W52" s="53"/>
      <c r="X52" s="53"/>
      <c r="Y52" s="53"/>
      <c r="Z52" s="53"/>
      <c r="AA52" s="56"/>
      <c r="AB52" s="54"/>
      <c r="AC52" s="54"/>
      <c r="AD52" s="54"/>
      <c r="AE52" s="54"/>
      <c r="AF52" s="131">
        <v>11</v>
      </c>
    </row>
    <row r="53" s="131" customFormat="1" ht="11.5" customHeight="1">
      <c r="A53" s="762"/>
      <c r="B53" s="57"/>
      <c r="C53" s="57"/>
      <c r="D53" s="131"/>
      <c r="K53" s="53"/>
      <c r="L53" s="57"/>
      <c r="M53" s="57"/>
      <c r="N53" s="53"/>
      <c r="O53" s="53"/>
      <c r="P53" s="53"/>
      <c r="Q53" s="53"/>
      <c r="R53" s="57"/>
      <c r="S53" s="53"/>
      <c r="T53" s="53"/>
      <c r="U53" s="763"/>
      <c r="V53" s="53"/>
      <c r="W53" s="53"/>
      <c r="X53" s="53"/>
      <c r="Y53" s="53"/>
      <c r="Z53" s="53"/>
      <c r="AA53" s="56"/>
      <c r="AB53" s="54"/>
      <c r="AC53" s="54"/>
      <c r="AD53" s="54"/>
      <c r="AE53" s="54"/>
      <c r="AF53" s="131">
        <v>11</v>
      </c>
    </row>
    <row r="54" s="131" customFormat="1" ht="11.5" customHeight="1">
      <c r="A54" s="762"/>
      <c r="B54" s="57"/>
      <c r="C54" s="57"/>
      <c r="D54" s="131"/>
      <c r="K54" s="53"/>
      <c r="L54" s="57"/>
      <c r="M54" s="57"/>
      <c r="N54" s="53"/>
      <c r="O54" s="53"/>
      <c r="P54" s="53"/>
      <c r="Q54" s="53"/>
      <c r="R54" s="57"/>
      <c r="S54" s="53"/>
      <c r="T54" s="53"/>
      <c r="U54" s="763"/>
      <c r="V54" s="53"/>
      <c r="W54" s="53"/>
      <c r="X54" s="53"/>
      <c r="Y54" s="53"/>
      <c r="Z54" s="53"/>
      <c r="AA54" s="56"/>
      <c r="AB54" s="54"/>
      <c r="AC54" s="54"/>
      <c r="AD54" s="54"/>
      <c r="AE54" s="54"/>
      <c r="AF54" s="131">
        <v>11</v>
      </c>
    </row>
    <row r="55" s="131" customFormat="1" ht="11.5" customHeight="1">
      <c r="A55" s="762"/>
      <c r="B55" s="57"/>
      <c r="C55" s="57"/>
      <c r="D55" s="131"/>
      <c r="K55" s="53"/>
      <c r="L55" s="57"/>
      <c r="M55" s="57"/>
      <c r="N55" s="53"/>
      <c r="O55" s="53"/>
      <c r="P55" s="53"/>
      <c r="Q55" s="53"/>
      <c r="R55" s="57"/>
      <c r="S55" s="53"/>
      <c r="T55" s="53"/>
      <c r="U55" s="763"/>
      <c r="V55" s="53"/>
      <c r="W55" s="53"/>
      <c r="X55" s="53"/>
      <c r="Y55" s="53"/>
      <c r="Z55" s="53"/>
      <c r="AA55" s="56"/>
      <c r="AB55" s="54"/>
      <c r="AC55" s="54"/>
      <c r="AD55" s="54"/>
      <c r="AE55" s="54"/>
      <c r="AF55" s="131">
        <v>11</v>
      </c>
    </row>
    <row r="56" s="131" customFormat="1" ht="11.5" customHeight="1">
      <c r="A56" s="762"/>
      <c r="B56" s="57"/>
      <c r="C56" s="57"/>
      <c r="D56" s="131"/>
      <c r="K56" s="53"/>
      <c r="L56" s="57"/>
      <c r="M56" s="57"/>
      <c r="N56" s="53"/>
      <c r="O56" s="53"/>
      <c r="P56" s="53"/>
      <c r="Q56" s="53"/>
      <c r="R56" s="57"/>
      <c r="S56" s="53"/>
      <c r="T56" s="53"/>
      <c r="U56" s="763"/>
      <c r="V56" s="53"/>
      <c r="W56" s="53"/>
      <c r="X56" s="53"/>
      <c r="Y56" s="53"/>
      <c r="Z56" s="53"/>
      <c r="AA56" s="56"/>
      <c r="AB56" s="54"/>
      <c r="AC56" s="54"/>
      <c r="AD56" s="54"/>
      <c r="AE56" s="54"/>
      <c r="AF56" s="131">
        <v>11</v>
      </c>
    </row>
    <row r="57" s="131" customFormat="1" ht="11.5" customHeight="1">
      <c r="A57" s="762"/>
      <c r="B57" s="57"/>
      <c r="C57" s="57"/>
      <c r="D57" s="131"/>
      <c r="K57" s="53"/>
      <c r="L57" s="57"/>
      <c r="M57" s="57"/>
      <c r="N57" s="53"/>
      <c r="O57" s="53"/>
      <c r="P57" s="53"/>
      <c r="Q57" s="53"/>
      <c r="R57" s="57"/>
      <c r="S57" s="53"/>
      <c r="T57" s="53"/>
      <c r="U57" s="763"/>
      <c r="V57" s="53"/>
      <c r="W57" s="53"/>
      <c r="X57" s="53"/>
      <c r="Y57" s="53"/>
      <c r="Z57" s="53"/>
      <c r="AA57" s="56"/>
      <c r="AB57" s="54"/>
      <c r="AC57" s="54"/>
      <c r="AD57" s="54"/>
      <c r="AE57" s="54"/>
      <c r="AF57" s="131">
        <v>11</v>
      </c>
    </row>
    <row r="58" s="131" customFormat="1" ht="11.5" customHeight="1">
      <c r="A58" s="762"/>
      <c r="B58" s="57"/>
      <c r="C58" s="57"/>
      <c r="D58" s="131"/>
      <c r="K58" s="53"/>
      <c r="L58" s="57"/>
      <c r="M58" s="57"/>
      <c r="N58" s="53"/>
      <c r="O58" s="53"/>
      <c r="P58" s="53"/>
      <c r="Q58" s="53"/>
      <c r="R58" s="57"/>
      <c r="S58" s="53"/>
      <c r="T58" s="53"/>
      <c r="U58" s="763"/>
      <c r="V58" s="53"/>
      <c r="W58" s="53"/>
      <c r="X58" s="53"/>
      <c r="Y58" s="53"/>
      <c r="Z58" s="53"/>
      <c r="AA58" s="56"/>
      <c r="AB58" s="54"/>
      <c r="AC58" s="54"/>
      <c r="AD58" s="54"/>
      <c r="AE58" s="54"/>
      <c r="AF58" s="131">
        <v>11</v>
      </c>
    </row>
    <row r="59" s="131" customFormat="1" ht="11.5" customHeight="1">
      <c r="A59" s="762"/>
      <c r="B59" s="57"/>
      <c r="C59" s="57"/>
      <c r="D59" s="131"/>
      <c r="K59" s="53"/>
      <c r="L59" s="57"/>
      <c r="M59" s="57"/>
      <c r="N59" s="53"/>
      <c r="O59" s="53"/>
      <c r="P59" s="53"/>
      <c r="Q59" s="53"/>
      <c r="R59" s="57"/>
      <c r="S59" s="53"/>
      <c r="T59" s="53"/>
      <c r="U59" s="763"/>
      <c r="V59" s="53"/>
      <c r="W59" s="53"/>
      <c r="X59" s="53"/>
      <c r="Y59" s="53"/>
      <c r="Z59" s="53"/>
      <c r="AA59" s="56"/>
      <c r="AB59" s="54"/>
      <c r="AC59" s="54"/>
      <c r="AD59" s="54"/>
      <c r="AE59" s="54"/>
      <c r="AF59" s="131">
        <v>11</v>
      </c>
    </row>
    <row r="60" s="131" customFormat="1" ht="11.5" customHeight="1">
      <c r="A60" s="762"/>
      <c r="B60" s="57"/>
      <c r="C60" s="57"/>
      <c r="D60" s="131"/>
      <c r="K60" s="53"/>
      <c r="L60" s="57"/>
      <c r="M60" s="57"/>
      <c r="N60" s="53"/>
      <c r="O60" s="53"/>
      <c r="P60" s="53"/>
      <c r="Q60" s="53"/>
      <c r="R60" s="57"/>
      <c r="S60" s="53"/>
      <c r="T60" s="53"/>
      <c r="U60" s="763"/>
      <c r="V60" s="53"/>
      <c r="W60" s="53"/>
      <c r="X60" s="53"/>
      <c r="Y60" s="53"/>
      <c r="Z60" s="53"/>
      <c r="AA60" s="56"/>
      <c r="AB60" s="54"/>
      <c r="AC60" s="54"/>
      <c r="AD60" s="54"/>
      <c r="AE60" s="54"/>
      <c r="AF60" s="131">
        <v>11</v>
      </c>
    </row>
    <row r="61" s="131" customFormat="1" ht="11.5" customHeight="1">
      <c r="A61" s="762"/>
      <c r="B61" s="57"/>
      <c r="C61" s="57"/>
      <c r="D61" s="131"/>
      <c r="K61" s="53"/>
      <c r="L61" s="57"/>
      <c r="M61" s="57"/>
      <c r="N61" s="53"/>
      <c r="O61" s="53"/>
      <c r="P61" s="53"/>
      <c r="Q61" s="53"/>
      <c r="R61" s="57"/>
      <c r="S61" s="53"/>
      <c r="T61" s="53"/>
      <c r="U61" s="763"/>
      <c r="V61" s="53"/>
      <c r="W61" s="53"/>
      <c r="X61" s="53"/>
      <c r="Y61" s="53"/>
      <c r="Z61" s="53"/>
      <c r="AA61" s="56"/>
      <c r="AB61" s="54"/>
      <c r="AC61" s="54"/>
      <c r="AD61" s="54"/>
      <c r="AE61" s="54"/>
      <c r="AF61" s="131">
        <v>11</v>
      </c>
    </row>
    <row r="62" s="131" customFormat="1" ht="11.5" customHeight="1">
      <c r="A62" s="762"/>
      <c r="B62" s="57"/>
      <c r="C62" s="57"/>
      <c r="D62" s="131"/>
      <c r="K62" s="53"/>
      <c r="L62" s="57"/>
      <c r="M62" s="57"/>
      <c r="N62" s="53"/>
      <c r="O62" s="53"/>
      <c r="P62" s="53"/>
      <c r="Q62" s="53"/>
      <c r="R62" s="57"/>
      <c r="S62" s="53"/>
      <c r="T62" s="53"/>
      <c r="U62" s="763"/>
      <c r="V62" s="53"/>
      <c r="W62" s="53"/>
      <c r="X62" s="53"/>
      <c r="Y62" s="53"/>
      <c r="Z62" s="53"/>
      <c r="AA62" s="56"/>
      <c r="AB62" s="54"/>
      <c r="AC62" s="54"/>
      <c r="AD62" s="54"/>
      <c r="AE62" s="54"/>
      <c r="AF62" s="131">
        <v>11</v>
      </c>
    </row>
    <row r="63" s="131" customFormat="1" ht="11.5" customHeight="1">
      <c r="A63" s="762"/>
      <c r="B63" s="57"/>
      <c r="C63" s="57"/>
      <c r="D63" s="131"/>
      <c r="K63" s="53"/>
      <c r="L63" s="57"/>
      <c r="M63" s="57"/>
      <c r="N63" s="53"/>
      <c r="O63" s="53"/>
      <c r="P63" s="53"/>
      <c r="Q63" s="53"/>
      <c r="R63" s="57"/>
      <c r="S63" s="53"/>
      <c r="T63" s="53"/>
      <c r="U63" s="763"/>
      <c r="V63" s="53"/>
      <c r="W63" s="53"/>
      <c r="X63" s="53"/>
      <c r="Y63" s="53"/>
      <c r="Z63" s="53"/>
      <c r="AA63" s="56"/>
      <c r="AB63" s="54"/>
      <c r="AC63" s="54"/>
      <c r="AD63" s="54"/>
      <c r="AE63" s="54"/>
      <c r="AF63" s="131">
        <v>11</v>
      </c>
    </row>
    <row r="64" s="131" customFormat="1" ht="11.5" customHeight="1">
      <c r="A64" s="762"/>
      <c r="B64" s="57"/>
      <c r="C64" s="57"/>
      <c r="D64" s="131"/>
      <c r="K64" s="53"/>
      <c r="L64" s="57"/>
      <c r="M64" s="57"/>
      <c r="N64" s="53"/>
      <c r="O64" s="53"/>
      <c r="P64" s="53"/>
      <c r="Q64" s="53"/>
      <c r="R64" s="57"/>
      <c r="S64" s="53"/>
      <c r="T64" s="53"/>
      <c r="U64" s="763"/>
      <c r="V64" s="53"/>
      <c r="W64" s="53"/>
      <c r="X64" s="53"/>
      <c r="Y64" s="53"/>
      <c r="Z64" s="53"/>
      <c r="AA64" s="56"/>
      <c r="AB64" s="54"/>
      <c r="AC64" s="54"/>
      <c r="AD64" s="54"/>
      <c r="AE64" s="54"/>
      <c r="AF64" s="131">
        <v>11</v>
      </c>
    </row>
    <row r="65" s="131" customFormat="1" ht="11.5" customHeight="1">
      <c r="A65" s="762"/>
      <c r="B65" s="57"/>
      <c r="C65" s="57"/>
      <c r="D65" s="131"/>
      <c r="K65" s="53"/>
      <c r="L65" s="57"/>
      <c r="M65" s="57"/>
      <c r="N65" s="53"/>
      <c r="O65" s="53"/>
      <c r="P65" s="53"/>
      <c r="Q65" s="53"/>
      <c r="R65" s="57"/>
      <c r="S65" s="53"/>
      <c r="T65" s="53"/>
      <c r="U65" s="763"/>
      <c r="V65" s="53"/>
      <c r="W65" s="53"/>
      <c r="X65" s="53"/>
      <c r="Y65" s="53"/>
      <c r="Z65" s="53"/>
      <c r="AA65" s="56"/>
      <c r="AB65" s="54"/>
      <c r="AC65" s="54"/>
      <c r="AD65" s="54"/>
      <c r="AE65" s="54"/>
      <c r="AF65" s="131">
        <v>11</v>
      </c>
    </row>
    <row r="66" s="131" customFormat="1" ht="11.5" customHeight="1">
      <c r="A66" s="762"/>
      <c r="B66" s="57"/>
      <c r="C66" s="57"/>
      <c r="D66" s="131"/>
      <c r="K66" s="53"/>
      <c r="L66" s="57"/>
      <c r="M66" s="57"/>
      <c r="N66" s="53"/>
      <c r="O66" s="53"/>
      <c r="P66" s="53"/>
      <c r="Q66" s="53"/>
      <c r="R66" s="57"/>
      <c r="S66" s="53"/>
      <c r="T66" s="53"/>
      <c r="U66" s="763"/>
      <c r="V66" s="53"/>
      <c r="W66" s="53"/>
      <c r="X66" s="53"/>
      <c r="Y66" s="53"/>
      <c r="Z66" s="53"/>
      <c r="AA66" s="56"/>
      <c r="AB66" s="54"/>
      <c r="AC66" s="54"/>
      <c r="AD66" s="54"/>
      <c r="AE66" s="54"/>
      <c r="AF66" s="131">
        <v>11</v>
      </c>
    </row>
    <row r="67" s="131" customFormat="1" ht="11.5" customHeight="1">
      <c r="A67" s="762"/>
      <c r="B67" s="57"/>
      <c r="C67" s="57"/>
      <c r="D67" s="131"/>
      <c r="K67" s="53"/>
      <c r="L67" s="57"/>
      <c r="M67" s="57"/>
      <c r="N67" s="53"/>
      <c r="O67" s="53"/>
      <c r="P67" s="53"/>
      <c r="Q67" s="53"/>
      <c r="R67" s="57"/>
      <c r="S67" s="53"/>
      <c r="T67" s="53"/>
      <c r="U67" s="763"/>
      <c r="V67" s="53"/>
      <c r="W67" s="53"/>
      <c r="X67" s="53"/>
      <c r="Y67" s="53"/>
      <c r="Z67" s="53"/>
      <c r="AA67" s="56"/>
      <c r="AB67" s="54"/>
      <c r="AC67" s="54"/>
      <c r="AD67" s="54"/>
      <c r="AE67" s="54"/>
      <c r="AF67" s="131">
        <v>11</v>
      </c>
    </row>
    <row r="68" s="131" customFormat="1" ht="11.5" customHeight="1">
      <c r="A68" s="762"/>
      <c r="B68" s="57"/>
      <c r="C68" s="57"/>
      <c r="D68" s="131"/>
      <c r="K68" s="53"/>
      <c r="L68" s="57"/>
      <c r="M68" s="57"/>
      <c r="N68" s="53"/>
      <c r="O68" s="53"/>
      <c r="P68" s="53"/>
      <c r="Q68" s="53"/>
      <c r="R68" s="57"/>
      <c r="S68" s="53"/>
      <c r="T68" s="53"/>
      <c r="U68" s="763"/>
      <c r="V68" s="53"/>
      <c r="W68" s="53"/>
      <c r="X68" s="53"/>
      <c r="Y68" s="53"/>
      <c r="Z68" s="53"/>
      <c r="AA68" s="56"/>
      <c r="AB68" s="54"/>
      <c r="AC68" s="54"/>
      <c r="AD68" s="54"/>
      <c r="AE68" s="54"/>
      <c r="AF68" s="131">
        <v>11</v>
      </c>
    </row>
    <row r="69" s="131" customFormat="1" ht="11.5" customHeight="1">
      <c r="A69" s="762"/>
      <c r="B69" s="57"/>
      <c r="C69" s="57"/>
      <c r="D69" s="131"/>
      <c r="K69" s="53"/>
      <c r="L69" s="57"/>
      <c r="M69" s="57"/>
      <c r="N69" s="53"/>
      <c r="O69" s="53"/>
      <c r="P69" s="53"/>
      <c r="Q69" s="53"/>
      <c r="R69" s="57"/>
      <c r="S69" s="53"/>
      <c r="T69" s="53"/>
      <c r="U69" s="763"/>
      <c r="V69" s="53"/>
      <c r="W69" s="53"/>
      <c r="X69" s="53"/>
      <c r="Y69" s="53"/>
      <c r="Z69" s="53"/>
      <c r="AA69" s="56"/>
      <c r="AB69" s="54"/>
      <c r="AC69" s="54"/>
      <c r="AD69" s="54"/>
      <c r="AE69" s="54"/>
      <c r="AF69" s="131">
        <v>11</v>
      </c>
    </row>
    <row r="70" s="131" customFormat="1" ht="11.5" customHeight="1">
      <c r="A70" s="762"/>
      <c r="B70" s="57"/>
      <c r="C70" s="57"/>
      <c r="D70" s="131"/>
      <c r="K70" s="53"/>
      <c r="L70" s="57"/>
      <c r="M70" s="57"/>
      <c r="N70" s="53"/>
      <c r="O70" s="53"/>
      <c r="P70" s="53"/>
      <c r="Q70" s="53"/>
      <c r="R70" s="57"/>
      <c r="S70" s="53"/>
      <c r="T70" s="53"/>
      <c r="U70" s="763"/>
      <c r="V70" s="53"/>
      <c r="W70" s="53"/>
      <c r="X70" s="53"/>
      <c r="Y70" s="53"/>
      <c r="Z70" s="53"/>
      <c r="AA70" s="56"/>
      <c r="AB70" s="54"/>
      <c r="AC70" s="54"/>
      <c r="AD70" s="54"/>
      <c r="AE70" s="54"/>
      <c r="AF70" s="131">
        <v>11</v>
      </c>
    </row>
    <row r="71" s="131" customFormat="1" ht="11.5" customHeight="1">
      <c r="A71" s="762"/>
      <c r="B71" s="57"/>
      <c r="C71" s="57"/>
      <c r="D71" s="131"/>
      <c r="K71" s="53"/>
      <c r="L71" s="57"/>
      <c r="M71" s="57"/>
      <c r="N71" s="53"/>
      <c r="O71" s="53"/>
      <c r="P71" s="53"/>
      <c r="Q71" s="53"/>
      <c r="R71" s="57"/>
      <c r="S71" s="53"/>
      <c r="T71" s="53"/>
      <c r="U71" s="763"/>
      <c r="V71" s="53"/>
      <c r="W71" s="53"/>
      <c r="X71" s="53"/>
      <c r="Y71" s="53"/>
      <c r="Z71" s="53"/>
      <c r="AA71" s="56"/>
      <c r="AB71" s="54"/>
      <c r="AC71" s="54"/>
      <c r="AD71" s="54"/>
      <c r="AE71" s="54"/>
      <c r="AF71" s="131">
        <v>11</v>
      </c>
    </row>
    <row r="72" s="131" customFormat="1" ht="11.5" customHeight="1">
      <c r="A72" s="762"/>
      <c r="B72" s="57"/>
      <c r="C72" s="57"/>
      <c r="D72" s="131"/>
      <c r="K72" s="53"/>
      <c r="L72" s="57"/>
      <c r="M72" s="57"/>
      <c r="N72" s="53"/>
      <c r="O72" s="53"/>
      <c r="P72" s="53"/>
      <c r="Q72" s="53"/>
      <c r="R72" s="57"/>
      <c r="S72" s="53"/>
      <c r="T72" s="53"/>
      <c r="U72" s="763"/>
      <c r="V72" s="53"/>
      <c r="W72" s="53"/>
      <c r="X72" s="53"/>
      <c r="Y72" s="53"/>
      <c r="Z72" s="53"/>
      <c r="AA72" s="56"/>
      <c r="AB72" s="54"/>
      <c r="AC72" s="54"/>
      <c r="AD72" s="54"/>
      <c r="AE72" s="54"/>
      <c r="AF72" s="131">
        <v>11</v>
      </c>
    </row>
    <row r="73" s="131" customFormat="1" ht="11.5" customHeight="1">
      <c r="A73" s="762"/>
      <c r="B73" s="57"/>
      <c r="C73" s="57"/>
      <c r="D73" s="131"/>
      <c r="K73" s="53"/>
      <c r="L73" s="57"/>
      <c r="M73" s="57"/>
      <c r="N73" s="53"/>
      <c r="O73" s="53"/>
      <c r="P73" s="53"/>
      <c r="Q73" s="53"/>
      <c r="R73" s="57"/>
      <c r="S73" s="53"/>
      <c r="T73" s="53"/>
      <c r="U73" s="763"/>
      <c r="V73" s="53"/>
      <c r="W73" s="53"/>
      <c r="X73" s="53"/>
      <c r="Y73" s="53"/>
      <c r="Z73" s="53"/>
      <c r="AA73" s="56"/>
      <c r="AB73" s="54"/>
      <c r="AC73" s="54"/>
      <c r="AD73" s="54"/>
      <c r="AE73" s="54"/>
      <c r="AF73" s="131">
        <v>11</v>
      </c>
    </row>
    <row r="74" s="131" customFormat="1" ht="11.5" customHeight="1">
      <c r="A74" s="762"/>
      <c r="B74" s="57"/>
      <c r="C74" s="57"/>
      <c r="D74" s="131"/>
      <c r="K74" s="53"/>
      <c r="L74" s="57"/>
      <c r="M74" s="57"/>
      <c r="N74" s="53"/>
      <c r="O74" s="53"/>
      <c r="P74" s="53"/>
      <c r="Q74" s="53"/>
      <c r="R74" s="57"/>
      <c r="S74" s="53"/>
      <c r="T74" s="53"/>
      <c r="U74" s="763"/>
      <c r="V74" s="53"/>
      <c r="W74" s="53"/>
      <c r="X74" s="53"/>
      <c r="Y74" s="53"/>
      <c r="Z74" s="53"/>
      <c r="AA74" s="56"/>
      <c r="AB74" s="54"/>
      <c r="AC74" s="54"/>
      <c r="AD74" s="54"/>
      <c r="AE74" s="54"/>
      <c r="AF74" s="131">
        <v>11</v>
      </c>
    </row>
    <row r="75" s="131" customFormat="1" ht="11.5" customHeight="1">
      <c r="A75" s="762"/>
      <c r="B75" s="57"/>
      <c r="C75" s="57"/>
      <c r="D75" s="131"/>
      <c r="K75" s="53"/>
      <c r="L75" s="57"/>
      <c r="M75" s="57"/>
      <c r="N75" s="53"/>
      <c r="O75" s="53"/>
      <c r="P75" s="53"/>
      <c r="Q75" s="53"/>
      <c r="R75" s="57"/>
      <c r="S75" s="53"/>
      <c r="T75" s="53"/>
      <c r="U75" s="763"/>
      <c r="V75" s="53"/>
      <c r="W75" s="53"/>
      <c r="X75" s="53"/>
      <c r="Y75" s="53"/>
      <c r="Z75" s="53"/>
      <c r="AA75" s="56"/>
      <c r="AB75" s="54"/>
      <c r="AC75" s="54"/>
      <c r="AD75" s="54"/>
      <c r="AE75" s="54"/>
      <c r="AF75" s="131">
        <v>11</v>
      </c>
    </row>
    <row r="76" s="131" customFormat="1" ht="11.5" customHeight="1">
      <c r="A76" s="762"/>
      <c r="B76" s="57"/>
      <c r="C76" s="57"/>
      <c r="D76" s="131"/>
      <c r="K76" s="53"/>
      <c r="L76" s="57"/>
      <c r="M76" s="57"/>
      <c r="N76" s="53"/>
      <c r="O76" s="53"/>
      <c r="P76" s="53"/>
      <c r="Q76" s="53"/>
      <c r="R76" s="57"/>
      <c r="S76" s="53"/>
      <c r="T76" s="53"/>
      <c r="U76" s="763"/>
      <c r="V76" s="53"/>
      <c r="W76" s="53"/>
      <c r="X76" s="53"/>
      <c r="Y76" s="53"/>
      <c r="Z76" s="53"/>
      <c r="AA76" s="56"/>
      <c r="AB76" s="54"/>
      <c r="AC76" s="54"/>
      <c r="AD76" s="54"/>
      <c r="AE76" s="54"/>
      <c r="AF76" s="131">
        <v>11</v>
      </c>
    </row>
    <row r="77" s="131" customFormat="1" ht="11.5" customHeight="1">
      <c r="A77" s="762"/>
      <c r="B77" s="57"/>
      <c r="C77" s="57"/>
      <c r="D77" s="131"/>
      <c r="K77" s="53"/>
      <c r="L77" s="57"/>
      <c r="M77" s="57"/>
      <c r="N77" s="53"/>
      <c r="O77" s="53"/>
      <c r="P77" s="53"/>
      <c r="Q77" s="53"/>
      <c r="R77" s="57"/>
      <c r="S77" s="53"/>
      <c r="T77" s="53"/>
      <c r="U77" s="763"/>
      <c r="V77" s="53"/>
      <c r="W77" s="53"/>
      <c r="X77" s="53"/>
      <c r="Y77" s="53"/>
      <c r="Z77" s="53"/>
      <c r="AA77" s="56"/>
      <c r="AB77" s="54"/>
      <c r="AC77" s="54"/>
      <c r="AD77" s="54"/>
      <c r="AE77" s="54"/>
      <c r="AF77" s="131">
        <v>11</v>
      </c>
    </row>
    <row r="78" s="131" customFormat="1" ht="11.5" customHeight="1">
      <c r="A78" s="762"/>
      <c r="B78" s="57"/>
      <c r="C78" s="57"/>
      <c r="D78" s="131"/>
      <c r="K78" s="53"/>
      <c r="L78" s="57"/>
      <c r="M78" s="57"/>
      <c r="N78" s="53"/>
      <c r="O78" s="53"/>
      <c r="P78" s="53"/>
      <c r="Q78" s="53"/>
      <c r="R78" s="57"/>
      <c r="S78" s="53"/>
      <c r="T78" s="53"/>
      <c r="U78" s="763"/>
      <c r="V78" s="53"/>
      <c r="W78" s="53"/>
      <c r="X78" s="53"/>
      <c r="Y78" s="53"/>
      <c r="Z78" s="53"/>
      <c r="AA78" s="56"/>
      <c r="AB78" s="54"/>
      <c r="AC78" s="54"/>
      <c r="AD78" s="54"/>
      <c r="AE78" s="54"/>
      <c r="AF78" s="131">
        <v>11</v>
      </c>
    </row>
    <row r="79" s="131" customFormat="1" ht="11.5" customHeight="1">
      <c r="A79" s="762"/>
      <c r="B79" s="57"/>
      <c r="C79" s="57"/>
      <c r="D79" s="131"/>
      <c r="K79" s="53"/>
      <c r="L79" s="57"/>
      <c r="M79" s="57"/>
      <c r="N79" s="53"/>
      <c r="O79" s="53"/>
      <c r="P79" s="53"/>
      <c r="Q79" s="53"/>
      <c r="R79" s="57"/>
      <c r="S79" s="53"/>
      <c r="T79" s="53"/>
      <c r="U79" s="763"/>
      <c r="V79" s="53"/>
      <c r="W79" s="53"/>
      <c r="X79" s="53"/>
      <c r="Y79" s="53"/>
      <c r="Z79" s="53"/>
      <c r="AA79" s="56"/>
      <c r="AB79" s="54"/>
      <c r="AC79" s="54"/>
      <c r="AD79" s="54"/>
      <c r="AE79" s="54"/>
      <c r="AF79" s="131">
        <v>11</v>
      </c>
    </row>
    <row r="80" s="131" customFormat="1" ht="11.5" customHeight="1">
      <c r="A80" s="762"/>
      <c r="B80" s="57"/>
      <c r="C80" s="57"/>
      <c r="D80" s="131"/>
      <c r="K80" s="53"/>
      <c r="L80" s="57"/>
      <c r="M80" s="57"/>
      <c r="N80" s="53"/>
      <c r="O80" s="53"/>
      <c r="P80" s="53"/>
      <c r="Q80" s="53"/>
      <c r="R80" s="57"/>
      <c r="S80" s="53"/>
      <c r="T80" s="53"/>
      <c r="U80" s="763"/>
      <c r="V80" s="53"/>
      <c r="W80" s="53"/>
      <c r="X80" s="53"/>
      <c r="Y80" s="53"/>
      <c r="Z80" s="53"/>
      <c r="AA80" s="56"/>
      <c r="AB80" s="54"/>
      <c r="AC80" s="54"/>
      <c r="AD80" s="54"/>
      <c r="AE80" s="54"/>
      <c r="AF80" s="131">
        <v>11</v>
      </c>
    </row>
    <row r="81" s="131" customFormat="1" ht="11.5" customHeight="1">
      <c r="A81" s="762"/>
      <c r="B81" s="57"/>
      <c r="C81" s="57"/>
      <c r="D81" s="131"/>
      <c r="K81" s="53"/>
      <c r="L81" s="57"/>
      <c r="M81" s="57"/>
      <c r="N81" s="53"/>
      <c r="O81" s="53"/>
      <c r="P81" s="53"/>
      <c r="Q81" s="53"/>
      <c r="R81" s="57"/>
      <c r="S81" s="53"/>
      <c r="T81" s="53"/>
      <c r="U81" s="763"/>
      <c r="V81" s="53"/>
      <c r="W81" s="53"/>
      <c r="X81" s="53"/>
      <c r="Y81" s="53"/>
      <c r="Z81" s="53"/>
      <c r="AA81" s="56"/>
      <c r="AB81" s="54"/>
      <c r="AC81" s="54"/>
      <c r="AD81" s="54"/>
      <c r="AE81" s="54"/>
      <c r="AF81" s="131">
        <v>11</v>
      </c>
    </row>
    <row r="82" s="131" customFormat="1" ht="11.5" customHeight="1">
      <c r="A82" s="762"/>
      <c r="B82" s="57"/>
      <c r="C82" s="57"/>
      <c r="D82" s="131"/>
      <c r="K82" s="53"/>
      <c r="L82" s="57"/>
      <c r="M82" s="57"/>
      <c r="N82" s="53"/>
      <c r="O82" s="53"/>
      <c r="P82" s="53"/>
      <c r="Q82" s="53"/>
      <c r="R82" s="57"/>
      <c r="S82" s="53"/>
      <c r="T82" s="53"/>
      <c r="U82" s="763"/>
      <c r="V82" s="53"/>
      <c r="W82" s="53"/>
      <c r="X82" s="53"/>
      <c r="Y82" s="53"/>
      <c r="Z82" s="53"/>
      <c r="AA82" s="56"/>
      <c r="AB82" s="54"/>
      <c r="AC82" s="54"/>
      <c r="AD82" s="54"/>
      <c r="AE82" s="54"/>
      <c r="AF82" s="131">
        <v>11</v>
      </c>
    </row>
    <row r="83" s="131" customFormat="1" ht="11.5" customHeight="1">
      <c r="A83" s="762"/>
      <c r="B83" s="57"/>
      <c r="C83" s="57"/>
      <c r="D83" s="131"/>
      <c r="K83" s="53"/>
      <c r="L83" s="57"/>
      <c r="M83" s="57"/>
      <c r="N83" s="53"/>
      <c r="O83" s="53"/>
      <c r="P83" s="53"/>
      <c r="Q83" s="53"/>
      <c r="R83" s="57"/>
      <c r="S83" s="53"/>
      <c r="T83" s="53"/>
      <c r="U83" s="763"/>
      <c r="V83" s="53"/>
      <c r="W83" s="53"/>
      <c r="X83" s="53"/>
      <c r="Y83" s="53"/>
      <c r="Z83" s="53"/>
      <c r="AA83" s="56"/>
      <c r="AB83" s="54"/>
      <c r="AC83" s="54"/>
      <c r="AD83" s="54"/>
      <c r="AE83" s="54"/>
      <c r="AF83" s="131">
        <v>11</v>
      </c>
    </row>
    <row r="84" s="131" customFormat="1" ht="11.5" customHeight="1">
      <c r="A84" s="762"/>
      <c r="B84" s="57"/>
      <c r="C84" s="57"/>
      <c r="D84" s="131"/>
      <c r="K84" s="53"/>
      <c r="L84" s="57"/>
      <c r="M84" s="57"/>
      <c r="N84" s="53"/>
      <c r="O84" s="53"/>
      <c r="P84" s="53"/>
      <c r="Q84" s="53"/>
      <c r="R84" s="57"/>
      <c r="S84" s="53"/>
      <c r="T84" s="53"/>
      <c r="U84" s="763"/>
      <c r="V84" s="53"/>
      <c r="W84" s="53"/>
      <c r="X84" s="53"/>
      <c r="Y84" s="53"/>
      <c r="Z84" s="53"/>
      <c r="AA84" s="56"/>
      <c r="AB84" s="54"/>
      <c r="AC84" s="54"/>
      <c r="AD84" s="54"/>
      <c r="AE84" s="54"/>
      <c r="AF84" s="131">
        <v>11</v>
      </c>
    </row>
    <row r="85" s="131" customFormat="1" ht="11.5" customHeight="1">
      <c r="A85" s="762"/>
      <c r="B85" s="57"/>
      <c r="C85" s="57"/>
      <c r="D85" s="131"/>
      <c r="K85" s="53"/>
      <c r="L85" s="57"/>
      <c r="M85" s="57"/>
      <c r="N85" s="53"/>
      <c r="O85" s="53"/>
      <c r="P85" s="53"/>
      <c r="Q85" s="53"/>
      <c r="R85" s="57"/>
      <c r="S85" s="53"/>
      <c r="T85" s="53"/>
      <c r="U85" s="763"/>
      <c r="V85" s="53"/>
      <c r="W85" s="53"/>
      <c r="X85" s="53"/>
      <c r="Y85" s="53"/>
      <c r="Z85" s="53"/>
      <c r="AA85" s="56"/>
      <c r="AB85" s="54"/>
      <c r="AC85" s="54"/>
      <c r="AD85" s="54"/>
      <c r="AE85" s="54"/>
      <c r="AF85" s="131">
        <v>11</v>
      </c>
    </row>
    <row r="86" s="131" customFormat="1" ht="11.5" customHeight="1">
      <c r="A86" s="762"/>
      <c r="B86" s="57"/>
      <c r="C86" s="57"/>
      <c r="D86" s="131"/>
      <c r="K86" s="53"/>
      <c r="L86" s="57"/>
      <c r="M86" s="57"/>
      <c r="N86" s="53"/>
      <c r="O86" s="53"/>
      <c r="P86" s="53"/>
      <c r="Q86" s="53"/>
      <c r="R86" s="57"/>
      <c r="S86" s="53"/>
      <c r="T86" s="53"/>
      <c r="U86" s="763"/>
      <c r="V86" s="53"/>
      <c r="W86" s="53"/>
      <c r="X86" s="53"/>
      <c r="Y86" s="53"/>
      <c r="Z86" s="53"/>
      <c r="AA86" s="56"/>
      <c r="AB86" s="54"/>
      <c r="AC86" s="54"/>
      <c r="AD86" s="54"/>
      <c r="AE86" s="54"/>
      <c r="AF86" s="131">
        <v>11</v>
      </c>
    </row>
    <row r="87" s="131" customFormat="1" ht="11.5" customHeight="1">
      <c r="A87" s="762"/>
      <c r="B87" s="57"/>
      <c r="C87" s="57"/>
      <c r="D87" s="131"/>
      <c r="K87" s="53"/>
      <c r="L87" s="57"/>
      <c r="M87" s="57"/>
      <c r="N87" s="53"/>
      <c r="O87" s="53"/>
      <c r="P87" s="53"/>
      <c r="Q87" s="53"/>
      <c r="R87" s="57"/>
      <c r="S87" s="53"/>
      <c r="T87" s="53"/>
      <c r="U87" s="763"/>
      <c r="V87" s="53"/>
      <c r="W87" s="53"/>
      <c r="X87" s="53"/>
      <c r="Y87" s="53"/>
      <c r="Z87" s="53"/>
      <c r="AA87" s="56"/>
      <c r="AB87" s="54"/>
      <c r="AC87" s="54"/>
      <c r="AD87" s="54"/>
      <c r="AE87" s="54"/>
      <c r="AF87" s="131">
        <v>11</v>
      </c>
    </row>
    <row r="88" s="131" customFormat="1" ht="11.5" customHeight="1">
      <c r="A88" s="762"/>
      <c r="B88" s="57"/>
      <c r="C88" s="57"/>
      <c r="D88" s="131"/>
      <c r="K88" s="53"/>
      <c r="L88" s="57"/>
      <c r="M88" s="57"/>
      <c r="N88" s="53"/>
      <c r="O88" s="53"/>
      <c r="P88" s="53"/>
      <c r="Q88" s="53"/>
      <c r="R88" s="57"/>
      <c r="S88" s="53"/>
      <c r="T88" s="53"/>
      <c r="U88" s="763"/>
      <c r="V88" s="53"/>
      <c r="W88" s="53"/>
      <c r="X88" s="53"/>
      <c r="Y88" s="53"/>
      <c r="Z88" s="53"/>
      <c r="AA88" s="56"/>
      <c r="AB88" s="54"/>
      <c r="AC88" s="54"/>
      <c r="AD88" s="54"/>
      <c r="AE88" s="54"/>
      <c r="AF88" s="131">
        <v>11</v>
      </c>
    </row>
    <row r="89" s="131" customFormat="1" ht="11.5" customHeight="1">
      <c r="A89" s="762"/>
      <c r="B89" s="57"/>
      <c r="C89" s="57"/>
      <c r="D89" s="131"/>
      <c r="K89" s="53"/>
      <c r="L89" s="57"/>
      <c r="M89" s="57"/>
      <c r="N89" s="53"/>
      <c r="O89" s="53"/>
      <c r="P89" s="53"/>
      <c r="Q89" s="53"/>
      <c r="R89" s="57"/>
      <c r="S89" s="53"/>
      <c r="T89" s="53"/>
      <c r="U89" s="763"/>
      <c r="V89" s="53"/>
      <c r="W89" s="53"/>
      <c r="X89" s="53"/>
      <c r="Y89" s="53"/>
      <c r="Z89" s="53"/>
      <c r="AA89" s="56"/>
      <c r="AB89" s="54"/>
      <c r="AC89" s="54"/>
      <c r="AD89" s="54"/>
      <c r="AE89" s="54"/>
      <c r="AF89" s="131">
        <v>11</v>
      </c>
    </row>
    <row r="90" s="131" customFormat="1" ht="11.5" customHeight="1">
      <c r="A90" s="762"/>
      <c r="B90" s="57"/>
      <c r="C90" s="57"/>
      <c r="D90" s="131"/>
      <c r="K90" s="53"/>
      <c r="L90" s="57"/>
      <c r="M90" s="57"/>
      <c r="N90" s="53"/>
      <c r="O90" s="53"/>
      <c r="P90" s="53"/>
      <c r="Q90" s="53"/>
      <c r="R90" s="57"/>
      <c r="S90" s="53"/>
      <c r="T90" s="53"/>
      <c r="U90" s="763"/>
      <c r="V90" s="53"/>
      <c r="W90" s="53"/>
      <c r="X90" s="53"/>
      <c r="Y90" s="53"/>
      <c r="Z90" s="53"/>
      <c r="AA90" s="56"/>
      <c r="AB90" s="54"/>
      <c r="AC90" s="54"/>
      <c r="AD90" s="54"/>
      <c r="AE90" s="54"/>
      <c r="AF90" s="131">
        <v>11</v>
      </c>
    </row>
    <row r="91" s="131" customFormat="1" ht="11.5" customHeight="1">
      <c r="A91" s="762"/>
      <c r="B91" s="57"/>
      <c r="C91" s="57"/>
      <c r="D91" s="131"/>
      <c r="K91" s="53"/>
      <c r="L91" s="57"/>
      <c r="M91" s="57"/>
      <c r="N91" s="53"/>
      <c r="O91" s="53"/>
      <c r="P91" s="53"/>
      <c r="Q91" s="53"/>
      <c r="R91" s="57"/>
      <c r="S91" s="53"/>
      <c r="T91" s="53"/>
      <c r="U91" s="763"/>
      <c r="V91" s="53"/>
      <c r="W91" s="53"/>
      <c r="X91" s="53"/>
      <c r="Y91" s="53"/>
      <c r="Z91" s="53"/>
      <c r="AA91" s="56"/>
      <c r="AB91" s="54"/>
      <c r="AC91" s="54"/>
      <c r="AD91" s="54"/>
      <c r="AE91" s="54"/>
      <c r="AF91" s="131">
        <v>11</v>
      </c>
    </row>
    <row r="92" s="131" customFormat="1" ht="11.5" customHeight="1">
      <c r="A92" s="762"/>
      <c r="B92" s="57"/>
      <c r="C92" s="57"/>
      <c r="D92" s="131"/>
      <c r="K92" s="53"/>
      <c r="L92" s="57"/>
      <c r="M92" s="57"/>
      <c r="N92" s="53"/>
      <c r="O92" s="53"/>
      <c r="P92" s="53"/>
      <c r="Q92" s="53"/>
      <c r="R92" s="57"/>
      <c r="S92" s="53"/>
      <c r="T92" s="53"/>
      <c r="U92" s="763"/>
      <c r="V92" s="53"/>
      <c r="W92" s="53"/>
      <c r="X92" s="53"/>
      <c r="Y92" s="53"/>
      <c r="Z92" s="53"/>
      <c r="AA92" s="56"/>
      <c r="AB92" s="54"/>
      <c r="AC92" s="54"/>
      <c r="AD92" s="54"/>
      <c r="AE92" s="54"/>
      <c r="AF92" s="131">
        <v>11</v>
      </c>
    </row>
    <row r="93" s="131" customFormat="1" ht="11.5" customHeight="1">
      <c r="A93" s="762"/>
      <c r="B93" s="57"/>
      <c r="C93" s="57"/>
      <c r="D93" s="131"/>
      <c r="K93" s="53"/>
      <c r="L93" s="57"/>
      <c r="M93" s="57"/>
      <c r="N93" s="53"/>
      <c r="O93" s="53"/>
      <c r="P93" s="53"/>
      <c r="Q93" s="53"/>
      <c r="R93" s="57"/>
      <c r="S93" s="53"/>
      <c r="T93" s="53"/>
      <c r="U93" s="763"/>
      <c r="V93" s="53"/>
      <c r="W93" s="53"/>
      <c r="X93" s="53"/>
      <c r="Y93" s="53"/>
      <c r="Z93" s="53"/>
      <c r="AA93" s="56"/>
      <c r="AB93" s="54"/>
      <c r="AC93" s="54"/>
      <c r="AD93" s="54"/>
      <c r="AE93" s="54"/>
      <c r="AF93" s="131">
        <v>11</v>
      </c>
    </row>
    <row r="94" s="131" customFormat="1" ht="11.5" customHeight="1">
      <c r="A94" s="762"/>
      <c r="B94" s="57"/>
      <c r="C94" s="57"/>
      <c r="D94" s="131"/>
      <c r="K94" s="53"/>
      <c r="L94" s="57"/>
      <c r="M94" s="57"/>
      <c r="N94" s="53"/>
      <c r="O94" s="53"/>
      <c r="P94" s="53"/>
      <c r="Q94" s="53"/>
      <c r="R94" s="57"/>
      <c r="S94" s="53"/>
      <c r="T94" s="53"/>
      <c r="U94" s="763"/>
      <c r="V94" s="53"/>
      <c r="W94" s="53"/>
      <c r="X94" s="53"/>
      <c r="Y94" s="53"/>
      <c r="Z94" s="53"/>
      <c r="AA94" s="56"/>
      <c r="AB94" s="54"/>
      <c r="AC94" s="54"/>
      <c r="AD94" s="54"/>
      <c r="AE94" s="54"/>
      <c r="AF94" s="131">
        <v>11</v>
      </c>
    </row>
    <row r="95" s="131" customFormat="1" ht="11.5" customHeight="1">
      <c r="A95" s="762"/>
      <c r="B95" s="57"/>
      <c r="C95" s="57"/>
      <c r="D95" s="131"/>
      <c r="K95" s="53"/>
      <c r="L95" s="57"/>
      <c r="M95" s="57"/>
      <c r="N95" s="53"/>
      <c r="O95" s="53"/>
      <c r="P95" s="53"/>
      <c r="Q95" s="53"/>
      <c r="R95" s="57"/>
      <c r="S95" s="53"/>
      <c r="T95" s="53"/>
      <c r="U95" s="763"/>
      <c r="V95" s="53"/>
      <c r="W95" s="53"/>
      <c r="X95" s="53"/>
      <c r="Y95" s="53"/>
      <c r="Z95" s="53"/>
      <c r="AA95" s="56"/>
      <c r="AB95" s="54"/>
      <c r="AC95" s="54"/>
      <c r="AD95" s="54"/>
      <c r="AE95" s="54"/>
      <c r="AF95" s="131">
        <v>11</v>
      </c>
    </row>
    <row r="96" s="131" customFormat="1" ht="11.5" customHeight="1">
      <c r="A96" s="762"/>
      <c r="B96" s="57"/>
      <c r="C96" s="57"/>
      <c r="D96" s="131"/>
      <c r="K96" s="53"/>
      <c r="L96" s="57"/>
      <c r="M96" s="57"/>
      <c r="N96" s="53"/>
      <c r="O96" s="53"/>
      <c r="P96" s="53"/>
      <c r="Q96" s="53"/>
      <c r="R96" s="57"/>
      <c r="S96" s="53"/>
      <c r="T96" s="53"/>
      <c r="U96" s="763"/>
      <c r="V96" s="53"/>
      <c r="W96" s="53"/>
      <c r="X96" s="53"/>
      <c r="Y96" s="53"/>
      <c r="Z96" s="53"/>
      <c r="AA96" s="56"/>
      <c r="AB96" s="54"/>
      <c r="AC96" s="54"/>
      <c r="AD96" s="54"/>
      <c r="AE96" s="54"/>
      <c r="AF96" s="131">
        <v>11</v>
      </c>
    </row>
    <row r="97" s="131" customFormat="1" ht="11.5" customHeight="1">
      <c r="A97" s="762"/>
      <c r="B97" s="57"/>
      <c r="C97" s="57"/>
      <c r="D97" s="131"/>
      <c r="K97" s="53"/>
      <c r="L97" s="57"/>
      <c r="M97" s="57"/>
      <c r="N97" s="53"/>
      <c r="O97" s="53"/>
      <c r="P97" s="53"/>
      <c r="Q97" s="53"/>
      <c r="R97" s="57"/>
      <c r="S97" s="53"/>
      <c r="T97" s="53"/>
      <c r="U97" s="763"/>
      <c r="V97" s="53"/>
      <c r="W97" s="53"/>
      <c r="X97" s="53"/>
      <c r="Y97" s="53"/>
      <c r="Z97" s="53"/>
      <c r="AA97" s="56"/>
      <c r="AB97" s="54"/>
      <c r="AC97" s="54"/>
      <c r="AD97" s="54"/>
      <c r="AE97" s="54"/>
      <c r="AF97" s="131">
        <v>11</v>
      </c>
    </row>
    <row r="98" s="131" customFormat="1" ht="11.5" customHeight="1">
      <c r="A98" s="762"/>
      <c r="B98" s="57"/>
      <c r="C98" s="57"/>
      <c r="D98" s="131"/>
      <c r="K98" s="53"/>
      <c r="L98" s="57"/>
      <c r="M98" s="57"/>
      <c r="N98" s="53"/>
      <c r="O98" s="53"/>
      <c r="P98" s="53"/>
      <c r="Q98" s="53"/>
      <c r="R98" s="57"/>
      <c r="S98" s="53"/>
      <c r="T98" s="53"/>
      <c r="U98" s="763"/>
      <c r="V98" s="53"/>
      <c r="W98" s="53"/>
      <c r="X98" s="53"/>
      <c r="Y98" s="53"/>
      <c r="Z98" s="53"/>
      <c r="AA98" s="56"/>
      <c r="AB98" s="54"/>
      <c r="AC98" s="54"/>
      <c r="AD98" s="54"/>
      <c r="AE98" s="54"/>
      <c r="AF98" s="131">
        <v>11</v>
      </c>
    </row>
    <row r="99" s="131" customFormat="1" ht="11.5" customHeight="1">
      <c r="A99" s="762"/>
      <c r="B99" s="57"/>
      <c r="C99" s="57"/>
      <c r="D99" s="131"/>
      <c r="K99" s="53"/>
      <c r="L99" s="57"/>
      <c r="M99" s="57"/>
      <c r="N99" s="53"/>
      <c r="O99" s="53"/>
      <c r="P99" s="53"/>
      <c r="Q99" s="53"/>
      <c r="R99" s="57"/>
      <c r="S99" s="53"/>
      <c r="T99" s="53"/>
      <c r="U99" s="763"/>
      <c r="V99" s="53"/>
      <c r="W99" s="53"/>
      <c r="X99" s="53"/>
      <c r="Y99" s="53"/>
      <c r="Z99" s="53"/>
      <c r="AA99" s="56"/>
      <c r="AB99" s="54"/>
      <c r="AC99" s="54"/>
      <c r="AD99" s="54"/>
      <c r="AE99" s="54"/>
      <c r="AF99" s="131">
        <v>11</v>
      </c>
    </row>
    <row r="100" s="131" customFormat="1" ht="11.5" customHeight="1">
      <c r="A100" s="762"/>
      <c r="B100" s="57"/>
      <c r="C100" s="57"/>
      <c r="D100" s="131"/>
      <c r="K100" s="53"/>
      <c r="L100" s="57"/>
      <c r="M100" s="57"/>
      <c r="N100" s="53"/>
      <c r="O100" s="53"/>
      <c r="P100" s="53"/>
      <c r="Q100" s="53"/>
      <c r="R100" s="57"/>
      <c r="S100" s="53"/>
      <c r="T100" s="53"/>
      <c r="U100" s="763"/>
      <c r="V100" s="53"/>
      <c r="W100" s="53"/>
      <c r="X100" s="53"/>
      <c r="Y100" s="53"/>
      <c r="Z100" s="53"/>
      <c r="AA100" s="56"/>
      <c r="AB100" s="54"/>
      <c r="AC100" s="54"/>
      <c r="AD100" s="54"/>
      <c r="AE100" s="54"/>
      <c r="AF100" s="131">
        <v>11</v>
      </c>
    </row>
    <row r="101" s="131" customFormat="1" ht="11.5" customHeight="1">
      <c r="A101" s="762"/>
      <c r="B101" s="57"/>
      <c r="C101" s="57"/>
      <c r="D101" s="131"/>
      <c r="K101" s="53"/>
      <c r="L101" s="57"/>
      <c r="M101" s="57"/>
      <c r="N101" s="53"/>
      <c r="O101" s="53"/>
      <c r="P101" s="53"/>
      <c r="Q101" s="53"/>
      <c r="R101" s="57"/>
      <c r="S101" s="53"/>
      <c r="T101" s="53"/>
      <c r="U101" s="763"/>
      <c r="V101" s="53"/>
      <c r="W101" s="53"/>
      <c r="X101" s="53"/>
      <c r="Y101" s="53"/>
      <c r="Z101" s="53"/>
      <c r="AA101" s="56"/>
      <c r="AB101" s="54"/>
      <c r="AC101" s="54"/>
      <c r="AD101" s="54"/>
      <c r="AE101" s="54"/>
      <c r="AF101" s="131">
        <v>11</v>
      </c>
    </row>
    <row r="102" s="131" customFormat="1" ht="11.5" customHeight="1">
      <c r="A102" s="762"/>
      <c r="B102" s="57"/>
      <c r="C102" s="57"/>
      <c r="D102" s="131"/>
      <c r="K102" s="53"/>
      <c r="L102" s="57"/>
      <c r="M102" s="57"/>
      <c r="N102" s="53"/>
      <c r="O102" s="53"/>
      <c r="P102" s="53"/>
      <c r="Q102" s="53"/>
      <c r="R102" s="57"/>
      <c r="S102" s="53"/>
      <c r="T102" s="53"/>
      <c r="U102" s="763"/>
      <c r="V102" s="53"/>
      <c r="W102" s="53"/>
      <c r="X102" s="53"/>
      <c r="Y102" s="53"/>
      <c r="Z102" s="53"/>
      <c r="AA102" s="56"/>
      <c r="AB102" s="54"/>
      <c r="AC102" s="54"/>
      <c r="AD102" s="54"/>
      <c r="AE102" s="54"/>
      <c r="AF102" s="131">
        <v>11</v>
      </c>
    </row>
    <row r="103" s="131" customFormat="1" ht="11.5" customHeight="1">
      <c r="A103" s="762"/>
      <c r="B103" s="57"/>
      <c r="C103" s="57"/>
      <c r="D103" s="131"/>
      <c r="K103" s="53"/>
      <c r="L103" s="57"/>
      <c r="M103" s="57"/>
      <c r="N103" s="53"/>
      <c r="O103" s="53"/>
      <c r="P103" s="53"/>
      <c r="Q103" s="53"/>
      <c r="R103" s="57"/>
      <c r="S103" s="53"/>
      <c r="T103" s="53"/>
      <c r="U103" s="763"/>
      <c r="V103" s="53"/>
      <c r="W103" s="53"/>
      <c r="X103" s="53"/>
      <c r="Y103" s="53"/>
      <c r="Z103" s="53"/>
      <c r="AA103" s="56"/>
      <c r="AB103" s="54"/>
      <c r="AC103" s="54"/>
      <c r="AD103" s="54"/>
      <c r="AE103" s="54"/>
      <c r="AF103" s="131">
        <v>11</v>
      </c>
    </row>
    <row r="104" s="131" customFormat="1" ht="11.5" customHeight="1">
      <c r="A104" s="762"/>
      <c r="B104" s="57"/>
      <c r="C104" s="57"/>
      <c r="D104" s="131"/>
      <c r="K104" s="53"/>
      <c r="L104" s="57"/>
      <c r="M104" s="57"/>
      <c r="N104" s="53"/>
      <c r="O104" s="53"/>
      <c r="P104" s="53"/>
      <c r="Q104" s="53"/>
      <c r="R104" s="57"/>
      <c r="S104" s="53"/>
      <c r="T104" s="53"/>
      <c r="U104" s="763"/>
      <c r="V104" s="53"/>
      <c r="W104" s="53"/>
      <c r="X104" s="53"/>
      <c r="Y104" s="53"/>
      <c r="Z104" s="53"/>
      <c r="AA104" s="56"/>
      <c r="AB104" s="54"/>
      <c r="AC104" s="54"/>
      <c r="AD104" s="54"/>
      <c r="AE104" s="54"/>
      <c r="AF104" s="131">
        <v>11</v>
      </c>
    </row>
    <row r="105" s="131" customFormat="1" ht="11.5" customHeight="1">
      <c r="A105" s="762"/>
      <c r="B105" s="57"/>
      <c r="C105" s="57"/>
      <c r="D105" s="131"/>
      <c r="K105" s="53"/>
      <c r="L105" s="57"/>
      <c r="M105" s="57"/>
      <c r="N105" s="53"/>
      <c r="O105" s="53"/>
      <c r="P105" s="53"/>
      <c r="Q105" s="53"/>
      <c r="R105" s="57"/>
      <c r="S105" s="53"/>
      <c r="T105" s="53"/>
      <c r="U105" s="763"/>
      <c r="V105" s="53"/>
      <c r="W105" s="53"/>
      <c r="X105" s="53"/>
      <c r="Y105" s="53"/>
      <c r="Z105" s="53"/>
      <c r="AA105" s="56"/>
      <c r="AB105" s="54"/>
      <c r="AC105" s="54"/>
      <c r="AD105" s="54"/>
      <c r="AE105" s="54"/>
      <c r="AF105" s="131">
        <v>11</v>
      </c>
    </row>
    <row r="106" s="131" customFormat="1" ht="11.5" customHeight="1">
      <c r="A106" s="762"/>
      <c r="B106" s="57"/>
      <c r="C106" s="57"/>
      <c r="D106" s="131"/>
      <c r="K106" s="53"/>
      <c r="L106" s="57"/>
      <c r="M106" s="57"/>
      <c r="N106" s="53"/>
      <c r="O106" s="53"/>
      <c r="P106" s="53"/>
      <c r="Q106" s="53"/>
      <c r="R106" s="57"/>
      <c r="S106" s="53"/>
      <c r="T106" s="53"/>
      <c r="U106" s="763"/>
      <c r="V106" s="53"/>
      <c r="W106" s="53"/>
      <c r="X106" s="53"/>
      <c r="Y106" s="53"/>
      <c r="Z106" s="53"/>
      <c r="AA106" s="56"/>
      <c r="AB106" s="54"/>
      <c r="AC106" s="54"/>
      <c r="AD106" s="54"/>
      <c r="AE106" s="54"/>
      <c r="AF106" s="131">
        <v>11</v>
      </c>
    </row>
    <row r="107" s="131" customFormat="1" ht="11.5" customHeight="1">
      <c r="A107" s="762"/>
      <c r="B107" s="57"/>
      <c r="C107" s="57"/>
      <c r="D107" s="131"/>
      <c r="K107" s="53"/>
      <c r="L107" s="57"/>
      <c r="M107" s="57"/>
      <c r="N107" s="53"/>
      <c r="O107" s="53"/>
      <c r="P107" s="53"/>
      <c r="Q107" s="53"/>
      <c r="R107" s="57"/>
      <c r="S107" s="53"/>
      <c r="T107" s="53"/>
      <c r="U107" s="763"/>
      <c r="V107" s="53"/>
      <c r="W107" s="53"/>
      <c r="X107" s="53"/>
      <c r="Y107" s="53"/>
      <c r="Z107" s="53"/>
      <c r="AA107" s="56"/>
      <c r="AB107" s="54"/>
      <c r="AC107" s="54"/>
      <c r="AD107" s="54"/>
      <c r="AE107" s="54"/>
      <c r="AF107" s="131">
        <v>11</v>
      </c>
    </row>
    <row r="108" s="131" customFormat="1" ht="11.5" customHeight="1">
      <c r="A108" s="762"/>
      <c r="B108" s="57"/>
      <c r="C108" s="57"/>
      <c r="D108" s="131"/>
      <c r="K108" s="53"/>
      <c r="L108" s="57"/>
      <c r="M108" s="57"/>
      <c r="N108" s="53"/>
      <c r="O108" s="53"/>
      <c r="P108" s="53"/>
      <c r="Q108" s="53"/>
      <c r="R108" s="57"/>
      <c r="S108" s="53"/>
      <c r="T108" s="53"/>
      <c r="U108" s="763"/>
      <c r="V108" s="53"/>
      <c r="W108" s="53"/>
      <c r="X108" s="53"/>
      <c r="Y108" s="53"/>
      <c r="Z108" s="53"/>
      <c r="AA108" s="56"/>
      <c r="AB108" s="54"/>
      <c r="AC108" s="54"/>
      <c r="AD108" s="54"/>
      <c r="AE108" s="54"/>
      <c r="AF108" s="131">
        <v>11</v>
      </c>
    </row>
    <row r="109" s="131" customFormat="1" ht="11.5" customHeight="1">
      <c r="A109" s="762"/>
      <c r="B109" s="57"/>
      <c r="C109" s="57"/>
      <c r="D109" s="131"/>
      <c r="K109" s="53"/>
      <c r="L109" s="57"/>
      <c r="M109" s="57"/>
      <c r="N109" s="53"/>
      <c r="O109" s="53"/>
      <c r="P109" s="53"/>
      <c r="Q109" s="53"/>
      <c r="R109" s="57"/>
      <c r="S109" s="53"/>
      <c r="T109" s="53"/>
      <c r="U109" s="763"/>
      <c r="V109" s="53"/>
      <c r="W109" s="53"/>
      <c r="X109" s="53"/>
      <c r="Y109" s="53"/>
      <c r="Z109" s="53"/>
      <c r="AA109" s="56"/>
      <c r="AB109" s="54"/>
      <c r="AC109" s="54"/>
      <c r="AD109" s="54"/>
      <c r="AE109" s="54"/>
      <c r="AF109" s="131">
        <v>11</v>
      </c>
    </row>
    <row r="110" s="131" customFormat="1" ht="11.5" customHeight="1">
      <c r="A110" s="762"/>
      <c r="B110" s="57"/>
      <c r="C110" s="57"/>
      <c r="D110" s="131"/>
      <c r="K110" s="53"/>
      <c r="L110" s="57"/>
      <c r="M110" s="57"/>
      <c r="N110" s="53"/>
      <c r="O110" s="53"/>
      <c r="P110" s="53"/>
      <c r="Q110" s="53"/>
      <c r="R110" s="57"/>
      <c r="S110" s="53"/>
      <c r="T110" s="53"/>
      <c r="U110" s="763"/>
      <c r="V110" s="53"/>
      <c r="W110" s="53"/>
      <c r="X110" s="53"/>
      <c r="Y110" s="53"/>
      <c r="Z110" s="53"/>
      <c r="AA110" s="56"/>
      <c r="AB110" s="54"/>
      <c r="AC110" s="54"/>
      <c r="AD110" s="54"/>
      <c r="AE110" s="54"/>
      <c r="AF110" s="131">
        <v>11</v>
      </c>
    </row>
    <row r="111" s="131" customFormat="1" ht="11.5" customHeight="1">
      <c r="A111" s="762"/>
      <c r="B111" s="57"/>
      <c r="C111" s="57"/>
      <c r="D111" s="131"/>
      <c r="K111" s="53"/>
      <c r="L111" s="57"/>
      <c r="M111" s="57"/>
      <c r="N111" s="53"/>
      <c r="O111" s="53"/>
      <c r="P111" s="53"/>
      <c r="Q111" s="53"/>
      <c r="R111" s="57"/>
      <c r="S111" s="53"/>
      <c r="T111" s="53"/>
      <c r="U111" s="763"/>
      <c r="V111" s="53"/>
      <c r="W111" s="53"/>
      <c r="X111" s="53"/>
      <c r="Y111" s="53"/>
      <c r="Z111" s="53"/>
      <c r="AA111" s="56"/>
      <c r="AB111" s="54"/>
      <c r="AC111" s="54"/>
      <c r="AD111" s="54"/>
      <c r="AE111" s="54"/>
      <c r="AF111" s="131">
        <v>11</v>
      </c>
    </row>
    <row r="112" s="131" customFormat="1" ht="11.5" customHeight="1">
      <c r="A112" s="762"/>
      <c r="B112" s="57"/>
      <c r="C112" s="57"/>
      <c r="D112" s="131"/>
      <c r="K112" s="53"/>
      <c r="L112" s="57"/>
      <c r="M112" s="57"/>
      <c r="N112" s="53"/>
      <c r="O112" s="53"/>
      <c r="P112" s="53"/>
      <c r="Q112" s="53"/>
      <c r="R112" s="57"/>
      <c r="S112" s="53"/>
      <c r="T112" s="53"/>
      <c r="U112" s="763"/>
      <c r="V112" s="53"/>
      <c r="W112" s="53"/>
      <c r="X112" s="53"/>
      <c r="Y112" s="53"/>
      <c r="Z112" s="53"/>
      <c r="AA112" s="56"/>
      <c r="AB112" s="54"/>
      <c r="AC112" s="54"/>
      <c r="AD112" s="54"/>
      <c r="AE112" s="54"/>
      <c r="AF112" s="131">
        <v>11</v>
      </c>
    </row>
    <row r="113" s="131" customFormat="1" ht="11.5" customHeight="1">
      <c r="A113" s="762"/>
      <c r="B113" s="57"/>
      <c r="C113" s="57"/>
      <c r="D113" s="131"/>
      <c r="K113" s="53"/>
      <c r="L113" s="57"/>
      <c r="M113" s="57"/>
      <c r="N113" s="53"/>
      <c r="O113" s="53"/>
      <c r="P113" s="53"/>
      <c r="Q113" s="53"/>
      <c r="R113" s="57"/>
      <c r="S113" s="53"/>
      <c r="T113" s="53"/>
      <c r="U113" s="763"/>
      <c r="V113" s="53"/>
      <c r="W113" s="53"/>
      <c r="X113" s="53"/>
      <c r="Y113" s="53"/>
      <c r="Z113" s="53"/>
      <c r="AA113" s="56"/>
      <c r="AB113" s="54"/>
      <c r="AC113" s="54"/>
      <c r="AD113" s="54"/>
      <c r="AE113" s="54"/>
      <c r="AF113" s="131">
        <v>11</v>
      </c>
    </row>
    <row r="114" s="131" customFormat="1" ht="11.5" customHeight="1">
      <c r="A114" s="762"/>
      <c r="B114" s="57"/>
      <c r="C114" s="57"/>
      <c r="D114" s="131"/>
      <c r="K114" s="53"/>
      <c r="L114" s="57"/>
      <c r="M114" s="57"/>
      <c r="N114" s="53"/>
      <c r="O114" s="53"/>
      <c r="P114" s="53"/>
      <c r="Q114" s="53"/>
      <c r="R114" s="57"/>
      <c r="S114" s="53"/>
      <c r="T114" s="53"/>
      <c r="U114" s="763"/>
      <c r="V114" s="53"/>
      <c r="W114" s="53"/>
      <c r="X114" s="53"/>
      <c r="Y114" s="53"/>
      <c r="Z114" s="53"/>
      <c r="AA114" s="56"/>
      <c r="AB114" s="54"/>
      <c r="AC114" s="54"/>
      <c r="AD114" s="54"/>
      <c r="AE114" s="54"/>
      <c r="AF114" s="131">
        <v>11</v>
      </c>
    </row>
    <row r="115" s="131" customFormat="1" ht="11.5" customHeight="1">
      <c r="A115" s="762"/>
      <c r="B115" s="57"/>
      <c r="C115" s="57"/>
      <c r="D115" s="131"/>
      <c r="K115" s="53"/>
      <c r="L115" s="57"/>
      <c r="M115" s="57"/>
      <c r="N115" s="53"/>
      <c r="O115" s="53"/>
      <c r="P115" s="53"/>
      <c r="Q115" s="53"/>
      <c r="R115" s="57"/>
      <c r="S115" s="53"/>
      <c r="T115" s="53"/>
      <c r="U115" s="763"/>
      <c r="V115" s="53"/>
      <c r="W115" s="53"/>
      <c r="X115" s="53"/>
      <c r="Y115" s="53"/>
      <c r="Z115" s="53"/>
      <c r="AA115" s="56"/>
      <c r="AB115" s="54"/>
      <c r="AC115" s="54"/>
      <c r="AD115" s="54"/>
      <c r="AE115" s="54"/>
      <c r="AF115" s="131">
        <v>11</v>
      </c>
    </row>
    <row r="116" s="131" customFormat="1" ht="11.5" customHeight="1">
      <c r="A116" s="762"/>
      <c r="B116" s="57"/>
      <c r="C116" s="57"/>
      <c r="D116" s="131"/>
      <c r="K116" s="53"/>
      <c r="L116" s="57"/>
      <c r="M116" s="57"/>
      <c r="N116" s="53"/>
      <c r="O116" s="53"/>
      <c r="P116" s="53"/>
      <c r="Q116" s="53"/>
      <c r="R116" s="57"/>
      <c r="S116" s="53"/>
      <c r="T116" s="53"/>
      <c r="U116" s="763"/>
      <c r="V116" s="53"/>
      <c r="W116" s="53"/>
      <c r="X116" s="53"/>
      <c r="Y116" s="53"/>
      <c r="Z116" s="53"/>
      <c r="AA116" s="56"/>
      <c r="AB116" s="54"/>
      <c r="AC116" s="54"/>
      <c r="AD116" s="54"/>
      <c r="AE116" s="54"/>
      <c r="AF116" s="131">
        <v>11</v>
      </c>
    </row>
    <row r="117" s="131" customFormat="1" ht="11.5" customHeight="1">
      <c r="A117" s="762"/>
      <c r="B117" s="57"/>
      <c r="C117" s="57"/>
      <c r="D117" s="131"/>
      <c r="K117" s="53"/>
      <c r="L117" s="57"/>
      <c r="M117" s="57"/>
      <c r="N117" s="53"/>
      <c r="O117" s="53"/>
      <c r="P117" s="53"/>
      <c r="Q117" s="53"/>
      <c r="R117" s="57"/>
      <c r="S117" s="53"/>
      <c r="T117" s="53"/>
      <c r="U117" s="763"/>
      <c r="V117" s="53"/>
      <c r="W117" s="53"/>
      <c r="X117" s="53"/>
      <c r="Y117" s="53"/>
      <c r="Z117" s="53"/>
      <c r="AA117" s="56"/>
      <c r="AB117" s="54"/>
      <c r="AC117" s="54"/>
      <c r="AD117" s="54"/>
      <c r="AE117" s="54"/>
      <c r="AF117" s="131">
        <v>11</v>
      </c>
    </row>
    <row r="118" s="131" customFormat="1" ht="11.5" customHeight="1">
      <c r="A118" s="762"/>
      <c r="B118" s="57"/>
      <c r="C118" s="57"/>
      <c r="D118" s="131"/>
      <c r="K118" s="53"/>
      <c r="L118" s="57"/>
      <c r="M118" s="57"/>
      <c r="N118" s="53"/>
      <c r="O118" s="53"/>
      <c r="P118" s="53"/>
      <c r="Q118" s="53"/>
      <c r="R118" s="57"/>
      <c r="S118" s="53"/>
      <c r="T118" s="53"/>
      <c r="U118" s="763"/>
      <c r="V118" s="53"/>
      <c r="W118" s="53"/>
      <c r="X118" s="53"/>
      <c r="Y118" s="53"/>
      <c r="Z118" s="53"/>
      <c r="AA118" s="56"/>
      <c r="AB118" s="54"/>
      <c r="AC118" s="54"/>
      <c r="AD118" s="54"/>
      <c r="AE118" s="54"/>
      <c r="AF118" s="131">
        <v>11</v>
      </c>
    </row>
    <row r="119" s="131" customFormat="1" ht="11.5" customHeight="1">
      <c r="A119" s="762"/>
      <c r="B119" s="57"/>
      <c r="C119" s="57"/>
      <c r="D119" s="131"/>
      <c r="K119" s="53"/>
      <c r="L119" s="57"/>
      <c r="M119" s="57"/>
      <c r="N119" s="53"/>
      <c r="O119" s="53"/>
      <c r="P119" s="53"/>
      <c r="Q119" s="53"/>
      <c r="R119" s="57"/>
      <c r="S119" s="53"/>
      <c r="T119" s="53"/>
      <c r="U119" s="763"/>
      <c r="V119" s="53"/>
      <c r="W119" s="53"/>
      <c r="X119" s="53"/>
      <c r="Y119" s="53"/>
      <c r="Z119" s="53"/>
      <c r="AA119" s="56"/>
      <c r="AB119" s="54"/>
      <c r="AC119" s="54"/>
      <c r="AD119" s="54"/>
      <c r="AE119" s="54"/>
      <c r="AF119" s="131">
        <v>11</v>
      </c>
    </row>
    <row r="120" s="131" customFormat="1" ht="11.5" customHeight="1">
      <c r="A120" s="762"/>
      <c r="B120" s="57"/>
      <c r="C120" s="57"/>
      <c r="D120" s="131"/>
      <c r="K120" s="53"/>
      <c r="L120" s="57"/>
      <c r="M120" s="57"/>
      <c r="N120" s="53"/>
      <c r="O120" s="53"/>
      <c r="P120" s="53"/>
      <c r="Q120" s="53"/>
      <c r="R120" s="57"/>
      <c r="S120" s="53"/>
      <c r="T120" s="53"/>
      <c r="U120" s="763"/>
      <c r="V120" s="53"/>
      <c r="W120" s="53"/>
      <c r="X120" s="53"/>
      <c r="Y120" s="53"/>
      <c r="Z120" s="53"/>
      <c r="AA120" s="56"/>
      <c r="AB120" s="54"/>
      <c r="AC120" s="54"/>
      <c r="AD120" s="54"/>
      <c r="AE120" s="54"/>
      <c r="AF120" s="131">
        <v>11</v>
      </c>
    </row>
    <row r="121" s="131" customFormat="1" ht="11.5" customHeight="1">
      <c r="A121" s="762"/>
      <c r="B121" s="57"/>
      <c r="C121" s="57"/>
      <c r="D121" s="131"/>
      <c r="K121" s="53"/>
      <c r="L121" s="57"/>
      <c r="M121" s="57"/>
      <c r="N121" s="53"/>
      <c r="O121" s="53"/>
      <c r="P121" s="53"/>
      <c r="Q121" s="53"/>
      <c r="R121" s="57"/>
      <c r="S121" s="53"/>
      <c r="T121" s="53"/>
      <c r="U121" s="763"/>
      <c r="V121" s="53"/>
      <c r="W121" s="53"/>
      <c r="X121" s="53"/>
      <c r="Y121" s="53"/>
      <c r="Z121" s="53"/>
      <c r="AA121" s="56"/>
      <c r="AB121" s="54"/>
      <c r="AC121" s="54"/>
      <c r="AD121" s="54"/>
      <c r="AE121" s="54"/>
      <c r="AF121" s="131">
        <v>11</v>
      </c>
    </row>
    <row r="122" s="131" customFormat="1" ht="11.5" customHeight="1">
      <c r="A122" s="762"/>
      <c r="B122" s="57"/>
      <c r="C122" s="57"/>
      <c r="D122" s="131"/>
      <c r="K122" s="53"/>
      <c r="L122" s="57"/>
      <c r="M122" s="57"/>
      <c r="N122" s="53"/>
      <c r="O122" s="53"/>
      <c r="P122" s="53"/>
      <c r="Q122" s="53"/>
      <c r="R122" s="57"/>
      <c r="S122" s="53"/>
      <c r="T122" s="53"/>
      <c r="U122" s="763"/>
      <c r="V122" s="53"/>
      <c r="W122" s="53"/>
      <c r="X122" s="53"/>
      <c r="Y122" s="53"/>
      <c r="Z122" s="53"/>
      <c r="AA122" s="56"/>
      <c r="AB122" s="54"/>
      <c r="AC122" s="54"/>
      <c r="AD122" s="54"/>
      <c r="AE122" s="54"/>
      <c r="AF122" s="131">
        <v>11</v>
      </c>
    </row>
    <row r="123" s="131" customFormat="1" ht="11.5" customHeight="1">
      <c r="A123" s="762"/>
      <c r="B123" s="57"/>
      <c r="C123" s="57"/>
      <c r="D123" s="131"/>
      <c r="K123" s="53"/>
      <c r="L123" s="57"/>
      <c r="M123" s="57"/>
      <c r="N123" s="53"/>
      <c r="O123" s="53"/>
      <c r="P123" s="53"/>
      <c r="Q123" s="53"/>
      <c r="R123" s="57"/>
      <c r="S123" s="53"/>
      <c r="T123" s="53"/>
      <c r="U123" s="763"/>
      <c r="V123" s="53"/>
      <c r="W123" s="53"/>
      <c r="X123" s="53"/>
      <c r="Y123" s="53"/>
      <c r="Z123" s="53"/>
      <c r="AA123" s="56"/>
      <c r="AB123" s="54"/>
      <c r="AC123" s="54"/>
      <c r="AD123" s="54"/>
      <c r="AE123" s="54"/>
      <c r="AF123" s="131">
        <v>11</v>
      </c>
    </row>
    <row r="124" s="131" customFormat="1" ht="11.5" customHeight="1">
      <c r="A124" s="762"/>
      <c r="B124" s="57"/>
      <c r="C124" s="57"/>
      <c r="D124" s="131"/>
      <c r="K124" s="53"/>
      <c r="L124" s="57"/>
      <c r="M124" s="57"/>
      <c r="N124" s="53"/>
      <c r="O124" s="53"/>
      <c r="P124" s="53"/>
      <c r="Q124" s="53"/>
      <c r="R124" s="57"/>
      <c r="S124" s="53"/>
      <c r="T124" s="53"/>
      <c r="U124" s="763"/>
      <c r="V124" s="53"/>
      <c r="W124" s="53"/>
      <c r="X124" s="53"/>
      <c r="Y124" s="53"/>
      <c r="Z124" s="53"/>
      <c r="AA124" s="56"/>
      <c r="AB124" s="54"/>
      <c r="AC124" s="54"/>
      <c r="AD124" s="54"/>
      <c r="AE124" s="54"/>
      <c r="AF124" s="131">
        <v>11</v>
      </c>
    </row>
    <row r="125" s="131" customFormat="1" ht="11.5" customHeight="1">
      <c r="A125" s="762"/>
      <c r="B125" s="57"/>
      <c r="C125" s="57"/>
      <c r="D125" s="131"/>
      <c r="K125" s="53"/>
      <c r="L125" s="57"/>
      <c r="M125" s="57"/>
      <c r="N125" s="53"/>
      <c r="O125" s="53"/>
      <c r="P125" s="53"/>
      <c r="Q125" s="53"/>
      <c r="R125" s="57"/>
      <c r="S125" s="53"/>
      <c r="T125" s="53"/>
      <c r="U125" s="763"/>
      <c r="V125" s="53"/>
      <c r="W125" s="53"/>
      <c r="X125" s="53"/>
      <c r="Y125" s="53"/>
      <c r="Z125" s="53"/>
      <c r="AA125" s="56"/>
      <c r="AB125" s="54"/>
      <c r="AC125" s="54"/>
      <c r="AD125" s="54"/>
      <c r="AE125" s="54"/>
      <c r="AF125" s="131">
        <v>11</v>
      </c>
    </row>
    <row r="126" s="131" customFormat="1" ht="11.5" customHeight="1">
      <c r="A126" s="762"/>
      <c r="B126" s="57"/>
      <c r="C126" s="57"/>
      <c r="D126" s="131"/>
      <c r="K126" s="53"/>
      <c r="L126" s="57"/>
      <c r="M126" s="57"/>
      <c r="N126" s="53"/>
      <c r="O126" s="53"/>
      <c r="P126" s="53"/>
      <c r="Q126" s="53"/>
      <c r="R126" s="57"/>
      <c r="S126" s="53"/>
      <c r="T126" s="53"/>
      <c r="U126" s="763"/>
      <c r="V126" s="53"/>
      <c r="W126" s="53"/>
      <c r="X126" s="53"/>
      <c r="Y126" s="53"/>
      <c r="Z126" s="53"/>
      <c r="AA126" s="56"/>
      <c r="AB126" s="54"/>
      <c r="AC126" s="54"/>
      <c r="AD126" s="54"/>
      <c r="AE126" s="54"/>
      <c r="AF126" s="131">
        <v>11</v>
      </c>
    </row>
    <row r="127" s="131" customFormat="1" ht="11.5" customHeight="1">
      <c r="A127" s="762"/>
      <c r="B127" s="57"/>
      <c r="C127" s="57"/>
      <c r="D127" s="131"/>
      <c r="K127" s="53"/>
      <c r="L127" s="57"/>
      <c r="M127" s="57"/>
      <c r="N127" s="53"/>
      <c r="O127" s="53"/>
      <c r="P127" s="53"/>
      <c r="Q127" s="53"/>
      <c r="R127" s="57"/>
      <c r="S127" s="53"/>
      <c r="T127" s="53"/>
      <c r="U127" s="763"/>
      <c r="V127" s="53"/>
      <c r="W127" s="53"/>
      <c r="X127" s="53"/>
      <c r="Y127" s="53"/>
      <c r="Z127" s="53"/>
      <c r="AA127" s="56"/>
      <c r="AB127" s="54"/>
      <c r="AC127" s="54"/>
      <c r="AD127" s="54"/>
      <c r="AE127" s="54"/>
      <c r="AF127" s="131">
        <v>11</v>
      </c>
    </row>
    <row r="128" s="131" customFormat="1" ht="11.5" customHeight="1">
      <c r="A128" s="762"/>
      <c r="B128" s="57"/>
      <c r="C128" s="57"/>
      <c r="D128" s="131"/>
      <c r="K128" s="53"/>
      <c r="L128" s="57"/>
      <c r="M128" s="57"/>
      <c r="N128" s="53"/>
      <c r="O128" s="53"/>
      <c r="P128" s="53"/>
      <c r="Q128" s="53"/>
      <c r="R128" s="57"/>
      <c r="S128" s="53"/>
      <c r="T128" s="53"/>
      <c r="U128" s="763"/>
      <c r="V128" s="53"/>
      <c r="W128" s="53"/>
      <c r="X128" s="53"/>
      <c r="Y128" s="53"/>
      <c r="Z128" s="53"/>
      <c r="AA128" s="56"/>
      <c r="AB128" s="54"/>
      <c r="AC128" s="54"/>
      <c r="AD128" s="54"/>
      <c r="AE128" s="54"/>
      <c r="AF128" s="131">
        <v>11</v>
      </c>
    </row>
    <row r="129" s="131" customFormat="1" ht="11.5" customHeight="1">
      <c r="A129" s="762"/>
      <c r="B129" s="57"/>
      <c r="C129" s="57"/>
      <c r="D129" s="131"/>
      <c r="K129" s="53"/>
      <c r="L129" s="57"/>
      <c r="M129" s="57"/>
      <c r="N129" s="53"/>
      <c r="O129" s="53"/>
      <c r="P129" s="53"/>
      <c r="Q129" s="53"/>
      <c r="R129" s="57"/>
      <c r="S129" s="53"/>
      <c r="T129" s="53"/>
      <c r="U129" s="763"/>
      <c r="V129" s="53"/>
      <c r="W129" s="53"/>
      <c r="X129" s="53"/>
      <c r="Y129" s="53"/>
      <c r="Z129" s="53"/>
      <c r="AA129" s="56"/>
      <c r="AB129" s="54"/>
      <c r="AC129" s="54"/>
      <c r="AD129" s="54"/>
      <c r="AE129" s="54"/>
      <c r="AF129" s="131">
        <v>11</v>
      </c>
    </row>
    <row r="130" s="131" customFormat="1" ht="11.5" customHeight="1">
      <c r="A130" s="762"/>
      <c r="B130" s="57"/>
      <c r="C130" s="57"/>
      <c r="D130" s="131"/>
      <c r="K130" s="53"/>
      <c r="L130" s="57"/>
      <c r="M130" s="57"/>
      <c r="N130" s="53"/>
      <c r="O130" s="53"/>
      <c r="P130" s="53"/>
      <c r="Q130" s="53"/>
      <c r="R130" s="57"/>
      <c r="S130" s="53"/>
      <c r="T130" s="53"/>
      <c r="U130" s="763"/>
      <c r="V130" s="53"/>
      <c r="W130" s="53"/>
      <c r="X130" s="53"/>
      <c r="Y130" s="53"/>
      <c r="Z130" s="53"/>
      <c r="AA130" s="56"/>
      <c r="AB130" s="54"/>
      <c r="AC130" s="54"/>
      <c r="AD130" s="54"/>
      <c r="AE130" s="54"/>
      <c r="AF130" s="131">
        <v>11</v>
      </c>
    </row>
    <row r="131" s="131" customFormat="1" ht="11.5" customHeight="1">
      <c r="A131" s="762"/>
      <c r="B131" s="57"/>
      <c r="C131" s="57"/>
      <c r="D131" s="131"/>
      <c r="K131" s="53"/>
      <c r="L131" s="57"/>
      <c r="M131" s="57"/>
      <c r="N131" s="53"/>
      <c r="O131" s="53"/>
      <c r="P131" s="53"/>
      <c r="Q131" s="53"/>
      <c r="R131" s="57"/>
      <c r="S131" s="53"/>
      <c r="T131" s="53"/>
      <c r="U131" s="763"/>
      <c r="V131" s="53"/>
      <c r="W131" s="53"/>
      <c r="X131" s="53"/>
      <c r="Y131" s="53"/>
      <c r="Z131" s="53"/>
      <c r="AA131" s="56"/>
      <c r="AB131" s="54"/>
      <c r="AC131" s="54"/>
      <c r="AD131" s="54"/>
      <c r="AE131" s="54"/>
      <c r="AF131" s="131">
        <v>11</v>
      </c>
    </row>
    <row r="132" s="131" customFormat="1" ht="11.5" customHeight="1">
      <c r="A132" s="762"/>
      <c r="B132" s="57"/>
      <c r="C132" s="57"/>
      <c r="D132" s="131"/>
      <c r="K132" s="53"/>
      <c r="L132" s="57"/>
      <c r="M132" s="57"/>
      <c r="N132" s="53"/>
      <c r="O132" s="53"/>
      <c r="P132" s="53"/>
      <c r="Q132" s="53"/>
      <c r="R132" s="57"/>
      <c r="S132" s="53"/>
      <c r="T132" s="53"/>
      <c r="U132" s="763"/>
      <c r="V132" s="53"/>
      <c r="W132" s="53"/>
      <c r="X132" s="53"/>
      <c r="Y132" s="53"/>
      <c r="Z132" s="53"/>
      <c r="AA132" s="56"/>
      <c r="AB132" s="54"/>
      <c r="AC132" s="54"/>
      <c r="AD132" s="54"/>
      <c r="AE132" s="54"/>
      <c r="AF132" s="131">
        <v>11</v>
      </c>
    </row>
    <row r="133" s="131" customFormat="1" ht="11.5" customHeight="1">
      <c r="A133" s="762"/>
      <c r="B133" s="57"/>
      <c r="C133" s="57"/>
      <c r="D133" s="131"/>
      <c r="K133" s="53"/>
      <c r="L133" s="57"/>
      <c r="M133" s="57"/>
      <c r="N133" s="53"/>
      <c r="O133" s="53"/>
      <c r="P133" s="53"/>
      <c r="Q133" s="53"/>
      <c r="R133" s="57"/>
      <c r="S133" s="53"/>
      <c r="T133" s="53"/>
      <c r="U133" s="763"/>
      <c r="V133" s="53"/>
      <c r="W133" s="53"/>
      <c r="X133" s="53"/>
      <c r="Y133" s="53"/>
      <c r="Z133" s="53"/>
      <c r="AA133" s="56"/>
      <c r="AB133" s="54"/>
      <c r="AC133" s="54"/>
      <c r="AD133" s="54"/>
      <c r="AE133" s="54"/>
      <c r="AF133" s="131">
        <v>11</v>
      </c>
    </row>
    <row r="134" s="131" customFormat="1" ht="11.5" customHeight="1">
      <c r="A134" s="762"/>
      <c r="B134" s="57"/>
      <c r="C134" s="57"/>
      <c r="D134" s="131"/>
      <c r="K134" s="53"/>
      <c r="L134" s="57"/>
      <c r="M134" s="57"/>
      <c r="N134" s="53"/>
      <c r="O134" s="53"/>
      <c r="P134" s="53"/>
      <c r="Q134" s="53"/>
      <c r="R134" s="57"/>
      <c r="S134" s="53"/>
      <c r="T134" s="53"/>
      <c r="U134" s="763"/>
      <c r="V134" s="53"/>
      <c r="W134" s="53"/>
      <c r="X134" s="53"/>
      <c r="Y134" s="53"/>
      <c r="Z134" s="53"/>
      <c r="AA134" s="56"/>
      <c r="AB134" s="54"/>
      <c r="AC134" s="54"/>
      <c r="AD134" s="54"/>
      <c r="AE134" s="54"/>
      <c r="AF134" s="131">
        <v>11</v>
      </c>
    </row>
    <row r="135" s="131" customFormat="1" ht="11.5" customHeight="1">
      <c r="A135" s="762"/>
      <c r="B135" s="57"/>
      <c r="C135" s="57"/>
      <c r="D135" s="131"/>
      <c r="K135" s="53"/>
      <c r="L135" s="57"/>
      <c r="M135" s="57"/>
      <c r="N135" s="53"/>
      <c r="O135" s="53"/>
      <c r="P135" s="53"/>
      <c r="Q135" s="53"/>
      <c r="R135" s="57"/>
      <c r="S135" s="53"/>
      <c r="T135" s="53"/>
      <c r="U135" s="763"/>
      <c r="V135" s="53"/>
      <c r="W135" s="53"/>
      <c r="X135" s="53"/>
      <c r="Y135" s="53"/>
      <c r="Z135" s="53"/>
      <c r="AA135" s="56"/>
      <c r="AB135" s="54"/>
      <c r="AC135" s="54"/>
      <c r="AD135" s="54"/>
      <c r="AE135" s="54"/>
      <c r="AF135" s="131">
        <v>11</v>
      </c>
    </row>
    <row r="136" s="131" customFormat="1" ht="11.5" customHeight="1">
      <c r="A136" s="762"/>
      <c r="B136" s="57"/>
      <c r="C136" s="57"/>
      <c r="D136" s="131"/>
      <c r="K136" s="53"/>
      <c r="L136" s="57"/>
      <c r="M136" s="57"/>
      <c r="N136" s="53"/>
      <c r="O136" s="53"/>
      <c r="P136" s="53"/>
      <c r="Q136" s="53"/>
      <c r="R136" s="57"/>
      <c r="S136" s="53"/>
      <c r="T136" s="53"/>
      <c r="U136" s="763"/>
      <c r="V136" s="53"/>
      <c r="W136" s="53"/>
      <c r="X136" s="53"/>
      <c r="Y136" s="53"/>
      <c r="Z136" s="53"/>
      <c r="AA136" s="56"/>
      <c r="AB136" s="54"/>
      <c r="AC136" s="54"/>
      <c r="AD136" s="54"/>
      <c r="AE136" s="54"/>
      <c r="AF136" s="131">
        <v>11</v>
      </c>
    </row>
    <row r="137" s="131" customFormat="1" ht="11.5" customHeight="1">
      <c r="A137" s="762"/>
      <c r="B137" s="57"/>
      <c r="C137" s="57"/>
      <c r="D137" s="131"/>
      <c r="K137" s="53"/>
      <c r="L137" s="57"/>
      <c r="M137" s="57"/>
      <c r="N137" s="53"/>
      <c r="O137" s="53"/>
      <c r="P137" s="53"/>
      <c r="Q137" s="53"/>
      <c r="R137" s="57"/>
      <c r="S137" s="53"/>
      <c r="T137" s="53"/>
      <c r="U137" s="763"/>
      <c r="V137" s="53"/>
      <c r="W137" s="53"/>
      <c r="X137" s="53"/>
      <c r="Y137" s="53"/>
      <c r="Z137" s="53"/>
      <c r="AA137" s="56"/>
      <c r="AB137" s="54"/>
      <c r="AC137" s="54"/>
      <c r="AD137" s="54"/>
      <c r="AE137" s="54"/>
      <c r="AF137" s="131">
        <v>11</v>
      </c>
    </row>
    <row r="138" s="131" customFormat="1" ht="11.5" customHeight="1">
      <c r="A138" s="762"/>
      <c r="B138" s="57"/>
      <c r="C138" s="57"/>
      <c r="D138" s="131"/>
      <c r="K138" s="53"/>
      <c r="L138" s="57"/>
      <c r="M138" s="57"/>
      <c r="N138" s="53"/>
      <c r="O138" s="53"/>
      <c r="P138" s="53"/>
      <c r="Q138" s="53"/>
      <c r="R138" s="57"/>
      <c r="S138" s="53"/>
      <c r="T138" s="53"/>
      <c r="U138" s="763"/>
      <c r="V138" s="53"/>
      <c r="W138" s="53"/>
      <c r="X138" s="53"/>
      <c r="Y138" s="53"/>
      <c r="Z138" s="53"/>
      <c r="AA138" s="56"/>
      <c r="AB138" s="54"/>
      <c r="AC138" s="54"/>
      <c r="AD138" s="54"/>
      <c r="AE138" s="54"/>
      <c r="AF138" s="131">
        <v>11</v>
      </c>
    </row>
    <row r="139" s="131" customFormat="1" ht="11.5" customHeight="1">
      <c r="A139" s="762"/>
      <c r="B139" s="57"/>
      <c r="C139" s="57"/>
      <c r="D139" s="131"/>
      <c r="K139" s="53"/>
      <c r="L139" s="57"/>
      <c r="M139" s="57"/>
      <c r="N139" s="53"/>
      <c r="O139" s="53"/>
      <c r="P139" s="53"/>
      <c r="Q139" s="53"/>
      <c r="R139" s="57"/>
      <c r="S139" s="53"/>
      <c r="T139" s="53"/>
      <c r="U139" s="763"/>
      <c r="V139" s="53"/>
      <c r="W139" s="53"/>
      <c r="X139" s="53"/>
      <c r="Y139" s="53"/>
      <c r="Z139" s="53"/>
      <c r="AA139" s="56"/>
      <c r="AB139" s="54"/>
      <c r="AC139" s="54"/>
      <c r="AD139" s="54"/>
      <c r="AE139" s="54"/>
      <c r="AF139" s="131">
        <v>11</v>
      </c>
    </row>
    <row r="140" s="131" customFormat="1" ht="11.5" customHeight="1">
      <c r="A140" s="762"/>
      <c r="B140" s="57"/>
      <c r="C140" s="57"/>
      <c r="D140" s="131"/>
      <c r="K140" s="53"/>
      <c r="L140" s="57"/>
      <c r="M140" s="57"/>
      <c r="N140" s="53"/>
      <c r="O140" s="53"/>
      <c r="P140" s="53"/>
      <c r="Q140" s="53"/>
      <c r="R140" s="57"/>
      <c r="S140" s="53"/>
      <c r="T140" s="53"/>
      <c r="U140" s="763"/>
      <c r="V140" s="53"/>
      <c r="W140" s="53"/>
      <c r="X140" s="53"/>
      <c r="Y140" s="53"/>
      <c r="Z140" s="53"/>
      <c r="AA140" s="56"/>
      <c r="AB140" s="54"/>
      <c r="AC140" s="54"/>
      <c r="AD140" s="54"/>
      <c r="AE140" s="54"/>
      <c r="AF140" s="131">
        <v>11</v>
      </c>
    </row>
    <row r="141" s="131" customFormat="1" ht="11.5" customHeight="1">
      <c r="A141" s="762"/>
      <c r="B141" s="57"/>
      <c r="C141" s="57"/>
      <c r="D141" s="131"/>
      <c r="K141" s="53"/>
      <c r="L141" s="57"/>
      <c r="M141" s="57"/>
      <c r="N141" s="53"/>
      <c r="O141" s="53"/>
      <c r="P141" s="53"/>
      <c r="Q141" s="53"/>
      <c r="R141" s="57"/>
      <c r="S141" s="53"/>
      <c r="T141" s="53"/>
      <c r="U141" s="763"/>
      <c r="V141" s="53"/>
      <c r="W141" s="53"/>
      <c r="X141" s="53"/>
      <c r="Y141" s="53"/>
      <c r="Z141" s="53"/>
      <c r="AA141" s="56"/>
      <c r="AB141" s="54"/>
      <c r="AC141" s="54"/>
      <c r="AD141" s="54"/>
      <c r="AE141" s="54"/>
      <c r="AF141" s="131">
        <v>11</v>
      </c>
    </row>
    <row r="142" s="131" customFormat="1" ht="11.5" customHeight="1">
      <c r="A142" s="762"/>
      <c r="B142" s="57"/>
      <c r="C142" s="57"/>
      <c r="D142" s="131"/>
      <c r="K142" s="53"/>
      <c r="L142" s="57"/>
      <c r="M142" s="57"/>
      <c r="N142" s="53"/>
      <c r="O142" s="53"/>
      <c r="P142" s="53"/>
      <c r="Q142" s="53"/>
      <c r="R142" s="57"/>
      <c r="S142" s="53"/>
      <c r="T142" s="53"/>
      <c r="U142" s="763"/>
      <c r="V142" s="53"/>
      <c r="W142" s="53"/>
      <c r="X142" s="53"/>
      <c r="Y142" s="53"/>
      <c r="Z142" s="53"/>
      <c r="AA142" s="56"/>
      <c r="AB142" s="54"/>
      <c r="AC142" s="54"/>
      <c r="AD142" s="54"/>
      <c r="AE142" s="54"/>
      <c r="AF142" s="131">
        <v>11</v>
      </c>
    </row>
    <row r="143" s="131" customFormat="1" ht="11.5" customHeight="1">
      <c r="A143" s="762"/>
      <c r="B143" s="57"/>
      <c r="C143" s="57"/>
      <c r="D143" s="131"/>
      <c r="K143" s="53"/>
      <c r="L143" s="57"/>
      <c r="M143" s="57"/>
      <c r="N143" s="53"/>
      <c r="O143" s="53"/>
      <c r="P143" s="53"/>
      <c r="Q143" s="53"/>
      <c r="R143" s="57"/>
      <c r="S143" s="53"/>
      <c r="T143" s="53"/>
      <c r="U143" s="763"/>
      <c r="V143" s="53"/>
      <c r="W143" s="53"/>
      <c r="X143" s="53"/>
      <c r="Y143" s="53"/>
      <c r="Z143" s="53"/>
      <c r="AA143" s="56"/>
      <c r="AB143" s="54"/>
      <c r="AC143" s="54"/>
      <c r="AD143" s="54"/>
      <c r="AE143" s="54"/>
      <c r="AF143" s="131">
        <v>11</v>
      </c>
    </row>
    <row r="144" s="131" customFormat="1" ht="11.5" customHeight="1">
      <c r="A144" s="762"/>
      <c r="B144" s="57"/>
      <c r="C144" s="57"/>
      <c r="D144" s="131"/>
      <c r="K144" s="53"/>
      <c r="L144" s="57"/>
      <c r="M144" s="57"/>
      <c r="N144" s="53"/>
      <c r="O144" s="53"/>
      <c r="P144" s="53"/>
      <c r="Q144" s="53"/>
      <c r="R144" s="57"/>
      <c r="S144" s="53"/>
      <c r="T144" s="53"/>
      <c r="U144" s="763"/>
      <c r="V144" s="53"/>
      <c r="W144" s="53"/>
      <c r="X144" s="53"/>
      <c r="Y144" s="53"/>
      <c r="Z144" s="53"/>
      <c r="AA144" s="56"/>
      <c r="AB144" s="54"/>
      <c r="AC144" s="54"/>
      <c r="AD144" s="54"/>
      <c r="AE144" s="54"/>
      <c r="AF144" s="131">
        <v>11</v>
      </c>
    </row>
    <row r="145" s="131" customFormat="1" ht="11.5" customHeight="1">
      <c r="A145" s="762"/>
      <c r="B145" s="57"/>
      <c r="C145" s="57"/>
      <c r="D145" s="131"/>
      <c r="K145" s="53"/>
      <c r="L145" s="57"/>
      <c r="M145" s="57"/>
      <c r="N145" s="53"/>
      <c r="O145" s="53"/>
      <c r="P145" s="53"/>
      <c r="Q145" s="53"/>
      <c r="R145" s="57"/>
      <c r="S145" s="53"/>
      <c r="T145" s="53"/>
      <c r="U145" s="763"/>
      <c r="V145" s="53"/>
      <c r="W145" s="53"/>
      <c r="X145" s="53"/>
      <c r="Y145" s="53"/>
      <c r="Z145" s="53"/>
      <c r="AA145" s="56"/>
      <c r="AB145" s="54"/>
      <c r="AC145" s="54"/>
      <c r="AD145" s="54"/>
      <c r="AE145" s="54"/>
      <c r="AF145" s="131">
        <v>11</v>
      </c>
    </row>
    <row r="146" s="131" customFormat="1" ht="11.5" customHeight="1">
      <c r="A146" s="762"/>
      <c r="B146" s="57"/>
      <c r="C146" s="57"/>
      <c r="D146" s="131"/>
      <c r="K146" s="53"/>
      <c r="L146" s="57"/>
      <c r="M146" s="57"/>
      <c r="N146" s="53"/>
      <c r="O146" s="53"/>
      <c r="P146" s="53"/>
      <c r="Q146" s="53"/>
      <c r="R146" s="57"/>
      <c r="S146" s="53"/>
      <c r="T146" s="53"/>
      <c r="U146" s="763"/>
      <c r="V146" s="53"/>
      <c r="W146" s="53"/>
      <c r="X146" s="53"/>
      <c r="Y146" s="53"/>
      <c r="Z146" s="53"/>
      <c r="AA146" s="56"/>
      <c r="AB146" s="54"/>
      <c r="AC146" s="54"/>
      <c r="AD146" s="54"/>
      <c r="AE146" s="54"/>
      <c r="AF146" s="131">
        <v>11</v>
      </c>
    </row>
    <row r="147" s="131" customFormat="1" ht="11.5" customHeight="1">
      <c r="A147" s="762"/>
      <c r="B147" s="57"/>
      <c r="C147" s="57"/>
      <c r="D147" s="131"/>
      <c r="K147" s="53"/>
      <c r="L147" s="57"/>
      <c r="M147" s="57"/>
      <c r="N147" s="53"/>
      <c r="O147" s="53"/>
      <c r="P147" s="53"/>
      <c r="Q147" s="53"/>
      <c r="R147" s="57"/>
      <c r="S147" s="53"/>
      <c r="T147" s="53"/>
      <c r="U147" s="763"/>
      <c r="V147" s="53"/>
      <c r="W147" s="53"/>
      <c r="X147" s="53"/>
      <c r="Y147" s="53"/>
      <c r="Z147" s="53"/>
      <c r="AA147" s="56"/>
      <c r="AB147" s="54"/>
      <c r="AC147" s="54"/>
      <c r="AD147" s="54"/>
      <c r="AE147" s="54"/>
      <c r="AF147" s="131">
        <v>11</v>
      </c>
    </row>
    <row r="148" s="131" customFormat="1" ht="11.5" customHeight="1">
      <c r="A148" s="762"/>
      <c r="B148" s="57"/>
      <c r="C148" s="57"/>
      <c r="D148" s="131"/>
      <c r="K148" s="53"/>
      <c r="L148" s="57"/>
      <c r="M148" s="57"/>
      <c r="N148" s="53"/>
      <c r="O148" s="53"/>
      <c r="P148" s="53"/>
      <c r="Q148" s="53"/>
      <c r="R148" s="57"/>
      <c r="S148" s="53"/>
      <c r="T148" s="53"/>
      <c r="U148" s="763"/>
      <c r="V148" s="53"/>
      <c r="W148" s="53"/>
      <c r="X148" s="53"/>
      <c r="Y148" s="53"/>
      <c r="Z148" s="53"/>
      <c r="AA148" s="56"/>
      <c r="AB148" s="54"/>
      <c r="AC148" s="54"/>
      <c r="AD148" s="54"/>
      <c r="AE148" s="54"/>
      <c r="AF148" s="131">
        <v>11</v>
      </c>
    </row>
    <row r="149" s="131" customFormat="1" ht="11.5" customHeight="1">
      <c r="A149" s="762"/>
      <c r="B149" s="57"/>
      <c r="C149" s="57"/>
      <c r="D149" s="131"/>
      <c r="K149" s="53"/>
      <c r="L149" s="57"/>
      <c r="M149" s="57"/>
      <c r="N149" s="53"/>
      <c r="O149" s="53"/>
      <c r="P149" s="53"/>
      <c r="Q149" s="53"/>
      <c r="R149" s="57"/>
      <c r="S149" s="53"/>
      <c r="T149" s="53"/>
      <c r="U149" s="763"/>
      <c r="V149" s="53"/>
      <c r="W149" s="53"/>
      <c r="X149" s="53"/>
      <c r="Y149" s="53"/>
      <c r="Z149" s="53"/>
      <c r="AA149" s="56"/>
      <c r="AB149" s="54"/>
      <c r="AC149" s="54"/>
      <c r="AD149" s="54"/>
      <c r="AE149" s="54"/>
      <c r="AF149" s="131">
        <v>11</v>
      </c>
    </row>
    <row r="150" s="131" customFormat="1" ht="11.5" customHeight="1">
      <c r="A150" s="762"/>
      <c r="B150" s="57"/>
      <c r="C150" s="57"/>
      <c r="D150" s="131"/>
      <c r="K150" s="53"/>
      <c r="L150" s="57"/>
      <c r="M150" s="57"/>
      <c r="N150" s="53"/>
      <c r="O150" s="53"/>
      <c r="P150" s="53"/>
      <c r="Q150" s="53"/>
      <c r="R150" s="57"/>
      <c r="S150" s="53"/>
      <c r="T150" s="53"/>
      <c r="U150" s="763"/>
      <c r="V150" s="53"/>
      <c r="W150" s="53"/>
      <c r="X150" s="53"/>
      <c r="Y150" s="53"/>
      <c r="Z150" s="53"/>
      <c r="AA150" s="56"/>
      <c r="AB150" s="54"/>
      <c r="AC150" s="54"/>
      <c r="AD150" s="54"/>
      <c r="AE150" s="54"/>
      <c r="AF150" s="131">
        <v>11</v>
      </c>
    </row>
    <row r="151" s="131" customFormat="1" ht="11.5" customHeight="1">
      <c r="A151" s="762"/>
      <c r="B151" s="57"/>
      <c r="C151" s="57"/>
      <c r="D151" s="131"/>
      <c r="K151" s="53"/>
      <c r="L151" s="57"/>
      <c r="M151" s="57"/>
      <c r="N151" s="53"/>
      <c r="O151" s="53"/>
      <c r="P151" s="53"/>
      <c r="Q151" s="53"/>
      <c r="R151" s="57"/>
      <c r="S151" s="53"/>
      <c r="T151" s="53"/>
      <c r="U151" s="763"/>
      <c r="V151" s="53"/>
      <c r="W151" s="53"/>
      <c r="X151" s="53"/>
      <c r="Y151" s="53"/>
      <c r="Z151" s="53"/>
      <c r="AA151" s="56"/>
      <c r="AB151" s="54"/>
      <c r="AC151" s="54"/>
      <c r="AD151" s="54"/>
      <c r="AE151" s="54"/>
      <c r="AF151" s="131">
        <v>11</v>
      </c>
    </row>
    <row r="152" s="131" customFormat="1" ht="11.5" customHeight="1">
      <c r="A152" s="762"/>
      <c r="B152" s="57"/>
      <c r="C152" s="57"/>
      <c r="D152" s="131"/>
      <c r="K152" s="53"/>
      <c r="L152" s="57"/>
      <c r="M152" s="57"/>
      <c r="N152" s="53"/>
      <c r="O152" s="53"/>
      <c r="P152" s="53"/>
      <c r="Q152" s="53"/>
      <c r="R152" s="57"/>
      <c r="S152" s="53"/>
      <c r="T152" s="53"/>
      <c r="U152" s="763"/>
      <c r="V152" s="53"/>
      <c r="W152" s="53"/>
      <c r="X152" s="53"/>
      <c r="Y152" s="53"/>
      <c r="Z152" s="53"/>
      <c r="AA152" s="56"/>
      <c r="AB152" s="54"/>
      <c r="AC152" s="54"/>
      <c r="AD152" s="54"/>
      <c r="AE152" s="54"/>
      <c r="AF152" s="131">
        <v>11</v>
      </c>
    </row>
    <row r="153" s="131" customFormat="1" ht="11.5" customHeight="1">
      <c r="A153" s="762"/>
      <c r="B153" s="57"/>
      <c r="C153" s="57"/>
      <c r="D153" s="131"/>
      <c r="K153" s="53"/>
      <c r="L153" s="57"/>
      <c r="M153" s="57"/>
      <c r="N153" s="53"/>
      <c r="O153" s="53"/>
      <c r="P153" s="53"/>
      <c r="Q153" s="53"/>
      <c r="R153" s="57"/>
      <c r="S153" s="53"/>
      <c r="T153" s="53"/>
      <c r="U153" s="763"/>
      <c r="V153" s="53"/>
      <c r="W153" s="53"/>
      <c r="X153" s="53"/>
      <c r="Y153" s="53"/>
      <c r="Z153" s="53"/>
      <c r="AA153" s="56"/>
      <c r="AB153" s="54"/>
      <c r="AC153" s="54"/>
      <c r="AD153" s="54"/>
      <c r="AE153" s="54"/>
      <c r="AF153" s="131">
        <v>11</v>
      </c>
    </row>
    <row r="154" s="131" customFormat="1" ht="11.5" customHeight="1">
      <c r="A154" s="762"/>
      <c r="B154" s="57"/>
      <c r="C154" s="57"/>
      <c r="D154" s="131"/>
      <c r="K154" s="53"/>
      <c r="L154" s="57"/>
      <c r="M154" s="57"/>
      <c r="N154" s="53"/>
      <c r="O154" s="53"/>
      <c r="P154" s="53"/>
      <c r="Q154" s="53"/>
      <c r="R154" s="57"/>
      <c r="S154" s="53"/>
      <c r="T154" s="53"/>
      <c r="U154" s="763"/>
      <c r="V154" s="53"/>
      <c r="W154" s="53"/>
      <c r="X154" s="53"/>
      <c r="Y154" s="53"/>
      <c r="Z154" s="53"/>
      <c r="AA154" s="56"/>
      <c r="AB154" s="54"/>
      <c r="AC154" s="54"/>
      <c r="AD154" s="54"/>
      <c r="AE154" s="54"/>
      <c r="AF154" s="131">
        <v>11</v>
      </c>
    </row>
    <row r="155" s="131" customFormat="1" ht="11.5" customHeight="1">
      <c r="A155" s="762"/>
      <c r="B155" s="57"/>
      <c r="C155" s="57"/>
      <c r="D155" s="131"/>
      <c r="K155" s="53"/>
      <c r="L155" s="57"/>
      <c r="M155" s="57"/>
      <c r="N155" s="53"/>
      <c r="O155" s="53"/>
      <c r="P155" s="53"/>
      <c r="Q155" s="53"/>
      <c r="R155" s="57"/>
      <c r="S155" s="53"/>
      <c r="T155" s="53"/>
      <c r="U155" s="763"/>
      <c r="V155" s="53"/>
      <c r="W155" s="53"/>
      <c r="X155" s="53"/>
      <c r="Y155" s="53"/>
      <c r="Z155" s="53"/>
      <c r="AA155" s="56"/>
      <c r="AB155" s="54"/>
      <c r="AC155" s="54"/>
      <c r="AD155" s="54"/>
      <c r="AE155" s="54"/>
      <c r="AF155" s="131">
        <v>11</v>
      </c>
    </row>
    <row r="156" s="131" customFormat="1" ht="11.5" customHeight="1">
      <c r="A156" s="762"/>
      <c r="B156" s="57"/>
      <c r="C156" s="57"/>
      <c r="D156" s="131"/>
      <c r="K156" s="53"/>
      <c r="L156" s="57"/>
      <c r="M156" s="57"/>
      <c r="N156" s="53"/>
      <c r="O156" s="53"/>
      <c r="P156" s="53"/>
      <c r="Q156" s="53"/>
      <c r="R156" s="57"/>
      <c r="S156" s="53"/>
      <c r="T156" s="53"/>
      <c r="U156" s="763"/>
      <c r="V156" s="53"/>
      <c r="W156" s="53"/>
      <c r="X156" s="53"/>
      <c r="Y156" s="53"/>
      <c r="Z156" s="53"/>
      <c r="AA156" s="56"/>
      <c r="AB156" s="54"/>
      <c r="AC156" s="54"/>
      <c r="AD156" s="54"/>
      <c r="AE156" s="54"/>
      <c r="AF156" s="131">
        <v>11</v>
      </c>
    </row>
    <row r="157" s="131" customFormat="1" ht="11.5" customHeight="1">
      <c r="A157" s="762"/>
      <c r="B157" s="57"/>
      <c r="C157" s="57"/>
      <c r="D157" s="131"/>
      <c r="K157" s="53"/>
      <c r="L157" s="57"/>
      <c r="M157" s="57"/>
      <c r="N157" s="53"/>
      <c r="O157" s="53"/>
      <c r="P157" s="53"/>
      <c r="Q157" s="53"/>
      <c r="R157" s="57"/>
      <c r="S157" s="53"/>
      <c r="T157" s="53"/>
      <c r="U157" s="763"/>
      <c r="V157" s="53"/>
      <c r="W157" s="53"/>
      <c r="X157" s="53"/>
      <c r="Y157" s="53"/>
      <c r="Z157" s="53"/>
      <c r="AA157" s="56"/>
      <c r="AB157" s="54"/>
      <c r="AC157" s="54"/>
      <c r="AD157" s="54"/>
      <c r="AE157" s="54"/>
      <c r="AF157" s="131">
        <v>11</v>
      </c>
    </row>
    <row r="158" s="131" customFormat="1" ht="11.5" customHeight="1">
      <c r="A158" s="762"/>
      <c r="B158" s="57"/>
      <c r="C158" s="57"/>
      <c r="D158" s="131"/>
      <c r="K158" s="53"/>
      <c r="L158" s="57"/>
      <c r="M158" s="57"/>
      <c r="N158" s="53"/>
      <c r="O158" s="53"/>
      <c r="P158" s="53"/>
      <c r="Q158" s="53"/>
      <c r="R158" s="57"/>
      <c r="S158" s="53"/>
      <c r="T158" s="53"/>
      <c r="U158" s="763"/>
      <c r="V158" s="53"/>
      <c r="W158" s="53"/>
      <c r="X158" s="53"/>
      <c r="Y158" s="53"/>
      <c r="Z158" s="53"/>
      <c r="AA158" s="56"/>
      <c r="AB158" s="54"/>
      <c r="AC158" s="54"/>
      <c r="AD158" s="54"/>
      <c r="AE158" s="54"/>
      <c r="AF158" s="131">
        <v>11</v>
      </c>
    </row>
    <row r="159" s="131" customFormat="1" ht="11.5" customHeight="1">
      <c r="A159" s="762"/>
      <c r="B159" s="57"/>
      <c r="C159" s="57"/>
      <c r="D159" s="131"/>
      <c r="K159" s="53"/>
      <c r="L159" s="57"/>
      <c r="M159" s="57"/>
      <c r="N159" s="53"/>
      <c r="O159" s="53"/>
      <c r="P159" s="53"/>
      <c r="Q159" s="53"/>
      <c r="R159" s="57"/>
      <c r="S159" s="53"/>
      <c r="T159" s="53"/>
      <c r="U159" s="763"/>
      <c r="V159" s="53"/>
      <c r="W159" s="53"/>
      <c r="X159" s="53"/>
      <c r="Y159" s="53"/>
      <c r="Z159" s="53"/>
      <c r="AA159" s="56"/>
      <c r="AB159" s="54"/>
      <c r="AC159" s="54"/>
      <c r="AD159" s="54"/>
      <c r="AE159" s="54"/>
      <c r="AF159" s="131">
        <v>11</v>
      </c>
    </row>
    <row r="160" s="131" customFormat="1" ht="11.5" customHeight="1">
      <c r="A160" s="762"/>
      <c r="B160" s="57"/>
      <c r="C160" s="57"/>
      <c r="D160" s="131"/>
      <c r="K160" s="53"/>
      <c r="L160" s="57"/>
      <c r="M160" s="57"/>
      <c r="N160" s="53"/>
      <c r="O160" s="53"/>
      <c r="P160" s="53"/>
      <c r="Q160" s="53"/>
      <c r="R160" s="57"/>
      <c r="S160" s="53"/>
      <c r="T160" s="53"/>
      <c r="U160" s="763"/>
      <c r="V160" s="53"/>
      <c r="W160" s="53"/>
      <c r="X160" s="53"/>
      <c r="Y160" s="53"/>
      <c r="Z160" s="53"/>
      <c r="AA160" s="56"/>
      <c r="AB160" s="54"/>
      <c r="AC160" s="54"/>
      <c r="AD160" s="54"/>
      <c r="AE160" s="54"/>
      <c r="AF160" s="131">
        <v>11</v>
      </c>
    </row>
    <row r="161" s="131" customFormat="1" ht="11.5" customHeight="1">
      <c r="A161" s="762"/>
      <c r="B161" s="57"/>
      <c r="C161" s="57"/>
      <c r="D161" s="131"/>
      <c r="K161" s="53"/>
      <c r="L161" s="57"/>
      <c r="M161" s="57"/>
      <c r="N161" s="53"/>
      <c r="O161" s="53"/>
      <c r="P161" s="53"/>
      <c r="Q161" s="53"/>
      <c r="R161" s="57"/>
      <c r="S161" s="53"/>
      <c r="T161" s="53"/>
      <c r="U161" s="763"/>
      <c r="V161" s="53"/>
      <c r="W161" s="53"/>
      <c r="X161" s="53"/>
      <c r="Y161" s="53"/>
      <c r="Z161" s="53"/>
      <c r="AA161" s="56"/>
      <c r="AB161" s="54"/>
      <c r="AC161" s="54"/>
      <c r="AD161" s="54"/>
      <c r="AE161" s="54"/>
      <c r="AF161" s="131">
        <v>11</v>
      </c>
    </row>
    <row r="162" s="131" customFormat="1" ht="11.5" customHeight="1">
      <c r="A162" s="762"/>
      <c r="B162" s="57"/>
      <c r="C162" s="57"/>
      <c r="D162" s="131"/>
      <c r="K162" s="53"/>
      <c r="L162" s="57"/>
      <c r="M162" s="57"/>
      <c r="N162" s="53"/>
      <c r="O162" s="53"/>
      <c r="P162" s="53"/>
      <c r="Q162" s="53"/>
      <c r="R162" s="57"/>
      <c r="S162" s="53"/>
      <c r="T162" s="53"/>
      <c r="U162" s="763"/>
      <c r="V162" s="53"/>
      <c r="W162" s="53"/>
      <c r="X162" s="53"/>
      <c r="Y162" s="53"/>
      <c r="Z162" s="53"/>
      <c r="AA162" s="56"/>
      <c r="AB162" s="54"/>
      <c r="AC162" s="54"/>
      <c r="AD162" s="54"/>
      <c r="AE162" s="54"/>
      <c r="AF162" s="131">
        <v>11</v>
      </c>
    </row>
    <row r="163" s="131" customFormat="1" ht="11.5" customHeight="1">
      <c r="A163" s="762"/>
      <c r="B163" s="57"/>
      <c r="C163" s="57"/>
      <c r="D163" s="131"/>
      <c r="K163" s="53"/>
      <c r="L163" s="57"/>
      <c r="M163" s="57"/>
      <c r="N163" s="53"/>
      <c r="O163" s="53"/>
      <c r="P163" s="53"/>
      <c r="Q163" s="53"/>
      <c r="R163" s="57"/>
      <c r="S163" s="53"/>
      <c r="T163" s="53"/>
      <c r="U163" s="763"/>
      <c r="V163" s="53"/>
      <c r="W163" s="53"/>
      <c r="X163" s="53"/>
      <c r="Y163" s="53"/>
      <c r="Z163" s="53"/>
      <c r="AA163" s="56"/>
      <c r="AB163" s="54"/>
      <c r="AC163" s="54"/>
      <c r="AD163" s="54"/>
      <c r="AE163" s="54"/>
      <c r="AF163" s="131">
        <v>11</v>
      </c>
    </row>
    <row r="164" s="131" customFormat="1" ht="11.5" customHeight="1">
      <c r="A164" s="762"/>
      <c r="B164" s="57"/>
      <c r="C164" s="57"/>
      <c r="D164" s="131"/>
      <c r="K164" s="53"/>
      <c r="L164" s="57"/>
      <c r="M164" s="57"/>
      <c r="N164" s="53"/>
      <c r="O164" s="53"/>
      <c r="P164" s="53"/>
      <c r="Q164" s="53"/>
      <c r="R164" s="57"/>
      <c r="S164" s="53"/>
      <c r="T164" s="53"/>
      <c r="U164" s="763"/>
      <c r="V164" s="53"/>
      <c r="W164" s="53"/>
      <c r="X164" s="53"/>
      <c r="Y164" s="53"/>
      <c r="Z164" s="53"/>
      <c r="AA164" s="56"/>
      <c r="AB164" s="54"/>
      <c r="AC164" s="54"/>
      <c r="AD164" s="54"/>
      <c r="AE164" s="54"/>
      <c r="AF164" s="131">
        <v>11</v>
      </c>
    </row>
    <row r="165" s="131" customFormat="1" ht="11.5" customHeight="1">
      <c r="A165" s="762"/>
      <c r="B165" s="57"/>
      <c r="C165" s="57"/>
      <c r="D165" s="131"/>
      <c r="K165" s="53"/>
      <c r="L165" s="57"/>
      <c r="M165" s="57"/>
      <c r="N165" s="53"/>
      <c r="O165" s="53"/>
      <c r="P165" s="53"/>
      <c r="Q165" s="53"/>
      <c r="R165" s="57"/>
      <c r="S165" s="53"/>
      <c r="T165" s="53"/>
      <c r="U165" s="763"/>
      <c r="V165" s="53"/>
      <c r="W165" s="53"/>
      <c r="X165" s="53"/>
      <c r="Y165" s="53"/>
      <c r="Z165" s="53"/>
      <c r="AA165" s="56"/>
      <c r="AB165" s="54"/>
      <c r="AC165" s="54"/>
      <c r="AD165" s="54"/>
      <c r="AE165" s="54"/>
      <c r="AF165" s="131">
        <v>11</v>
      </c>
    </row>
    <row r="166" s="131" customFormat="1" ht="11.5" customHeight="1">
      <c r="A166" s="762"/>
      <c r="B166" s="57"/>
      <c r="C166" s="57"/>
      <c r="D166" s="131"/>
      <c r="K166" s="53"/>
      <c r="L166" s="57"/>
      <c r="M166" s="57"/>
      <c r="N166" s="53"/>
      <c r="O166" s="53"/>
      <c r="P166" s="53"/>
      <c r="Q166" s="53"/>
      <c r="R166" s="57"/>
      <c r="S166" s="53"/>
      <c r="T166" s="53"/>
      <c r="U166" s="763"/>
      <c r="V166" s="53"/>
      <c r="W166" s="53"/>
      <c r="X166" s="53"/>
      <c r="Y166" s="53"/>
      <c r="Z166" s="53"/>
      <c r="AA166" s="56"/>
      <c r="AB166" s="54"/>
      <c r="AC166" s="54"/>
      <c r="AD166" s="54"/>
      <c r="AE166" s="54"/>
      <c r="AF166" s="131">
        <v>11</v>
      </c>
    </row>
    <row r="167" s="131" customFormat="1" ht="11.5" customHeight="1">
      <c r="A167" s="762"/>
      <c r="B167" s="57"/>
      <c r="C167" s="57"/>
      <c r="D167" s="131"/>
      <c r="K167" s="53"/>
      <c r="L167" s="57"/>
      <c r="M167" s="57"/>
      <c r="N167" s="53"/>
      <c r="O167" s="53"/>
      <c r="P167" s="53"/>
      <c r="Q167" s="53"/>
      <c r="R167" s="57"/>
      <c r="S167" s="53"/>
      <c r="T167" s="53"/>
      <c r="U167" s="763"/>
      <c r="V167" s="53"/>
      <c r="W167" s="53"/>
      <c r="X167" s="53"/>
      <c r="Y167" s="53"/>
      <c r="Z167" s="53"/>
      <c r="AA167" s="56"/>
      <c r="AB167" s="54"/>
      <c r="AC167" s="54"/>
      <c r="AD167" s="54"/>
      <c r="AE167" s="54"/>
      <c r="AF167" s="131">
        <v>11</v>
      </c>
    </row>
    <row r="168" s="131" customFormat="1" ht="11.5" customHeight="1">
      <c r="A168" s="762"/>
      <c r="B168" s="57"/>
      <c r="C168" s="57"/>
      <c r="D168" s="131"/>
      <c r="K168" s="53"/>
      <c r="L168" s="57"/>
      <c r="M168" s="57"/>
      <c r="N168" s="53"/>
      <c r="O168" s="53"/>
      <c r="P168" s="53"/>
      <c r="Q168" s="53"/>
      <c r="R168" s="57"/>
      <c r="S168" s="53"/>
      <c r="T168" s="53"/>
      <c r="U168" s="763"/>
      <c r="V168" s="53"/>
      <c r="W168" s="53"/>
      <c r="X168" s="53"/>
      <c r="Y168" s="53"/>
      <c r="Z168" s="53"/>
      <c r="AA168" s="56"/>
      <c r="AB168" s="54"/>
      <c r="AC168" s="54"/>
      <c r="AD168" s="54"/>
      <c r="AE168" s="54"/>
      <c r="AF168" s="131">
        <v>11</v>
      </c>
    </row>
    <row r="169" s="131" customFormat="1" ht="11.5" customHeight="1">
      <c r="A169" s="762"/>
      <c r="B169" s="57"/>
      <c r="C169" s="57"/>
      <c r="D169" s="131"/>
      <c r="K169" s="53"/>
      <c r="L169" s="57"/>
      <c r="M169" s="57"/>
      <c r="N169" s="53"/>
      <c r="O169" s="53"/>
      <c r="P169" s="53"/>
      <c r="Q169" s="53"/>
      <c r="R169" s="57"/>
      <c r="S169" s="53"/>
      <c r="T169" s="53"/>
      <c r="U169" s="763"/>
      <c r="V169" s="53"/>
      <c r="W169" s="53"/>
      <c r="X169" s="53"/>
      <c r="Y169" s="53"/>
      <c r="Z169" s="53"/>
      <c r="AA169" s="56"/>
      <c r="AB169" s="54"/>
      <c r="AC169" s="54"/>
      <c r="AD169" s="54"/>
      <c r="AE169" s="54"/>
      <c r="AF169" s="131">
        <v>11</v>
      </c>
    </row>
    <row r="170" s="131" customFormat="1" ht="11.5" customHeight="1">
      <c r="A170" s="762"/>
      <c r="B170" s="57"/>
      <c r="C170" s="57"/>
      <c r="D170" s="131"/>
      <c r="K170" s="53"/>
      <c r="L170" s="57"/>
      <c r="M170" s="57"/>
      <c r="N170" s="53"/>
      <c r="O170" s="53"/>
      <c r="P170" s="53"/>
      <c r="Q170" s="53"/>
      <c r="R170" s="57"/>
      <c r="S170" s="53"/>
      <c r="T170" s="53"/>
      <c r="U170" s="763"/>
      <c r="V170" s="53"/>
      <c r="W170" s="53"/>
      <c r="X170" s="53"/>
      <c r="Y170" s="53"/>
      <c r="Z170" s="53"/>
      <c r="AA170" s="56"/>
      <c r="AB170" s="54"/>
      <c r="AC170" s="54"/>
      <c r="AD170" s="54"/>
      <c r="AE170" s="54"/>
      <c r="AF170" s="131">
        <v>11</v>
      </c>
    </row>
    <row r="171" s="131" customFormat="1" ht="11.5" customHeight="1">
      <c r="A171" s="762"/>
      <c r="B171" s="57"/>
      <c r="C171" s="57"/>
      <c r="D171" s="131"/>
      <c r="K171" s="53"/>
      <c r="L171" s="57"/>
      <c r="M171" s="57"/>
      <c r="N171" s="53"/>
      <c r="O171" s="53"/>
      <c r="P171" s="53"/>
      <c r="Q171" s="53"/>
      <c r="R171" s="57"/>
      <c r="S171" s="53"/>
      <c r="T171" s="53"/>
      <c r="U171" s="763"/>
      <c r="V171" s="53"/>
      <c r="W171" s="53"/>
      <c r="X171" s="53"/>
      <c r="Y171" s="53"/>
      <c r="Z171" s="53"/>
      <c r="AA171" s="56"/>
      <c r="AB171" s="54"/>
      <c r="AC171" s="54"/>
      <c r="AD171" s="54"/>
      <c r="AE171" s="54"/>
      <c r="AF171" s="131">
        <v>11</v>
      </c>
    </row>
    <row r="172" s="131" customFormat="1" ht="11.5" customHeight="1">
      <c r="A172" s="762"/>
      <c r="B172" s="57"/>
      <c r="C172" s="57"/>
      <c r="D172" s="131"/>
      <c r="K172" s="53"/>
      <c r="L172" s="57"/>
      <c r="M172" s="57"/>
      <c r="N172" s="53"/>
      <c r="O172" s="53"/>
      <c r="P172" s="53"/>
      <c r="Q172" s="53"/>
      <c r="R172" s="57"/>
      <c r="S172" s="53"/>
      <c r="T172" s="53"/>
      <c r="U172" s="763"/>
      <c r="V172" s="53"/>
      <c r="W172" s="53"/>
      <c r="X172" s="53"/>
      <c r="Y172" s="53"/>
      <c r="Z172" s="53"/>
      <c r="AA172" s="56"/>
      <c r="AB172" s="54"/>
      <c r="AC172" s="54"/>
      <c r="AD172" s="54"/>
      <c r="AE172" s="54"/>
      <c r="AF172" s="131">
        <v>11</v>
      </c>
    </row>
    <row r="173" s="131" customFormat="1" ht="11.5" customHeight="1">
      <c r="A173" s="762"/>
      <c r="B173" s="57"/>
      <c r="C173" s="57"/>
      <c r="D173" s="131"/>
      <c r="K173" s="53"/>
      <c r="L173" s="57"/>
      <c r="M173" s="57"/>
      <c r="N173" s="53"/>
      <c r="O173" s="53"/>
      <c r="P173" s="53"/>
      <c r="Q173" s="53"/>
      <c r="R173" s="57"/>
      <c r="S173" s="53"/>
      <c r="T173" s="53"/>
      <c r="U173" s="763"/>
      <c r="V173" s="53"/>
      <c r="W173" s="53"/>
      <c r="X173" s="53"/>
      <c r="Y173" s="53"/>
      <c r="Z173" s="53"/>
      <c r="AA173" s="56"/>
      <c r="AB173" s="54"/>
      <c r="AC173" s="54"/>
      <c r="AD173" s="54"/>
      <c r="AE173" s="54"/>
      <c r="AF173" s="131">
        <v>11</v>
      </c>
    </row>
    <row r="174" s="131" customFormat="1" ht="11.5" customHeight="1">
      <c r="A174" s="762"/>
      <c r="B174" s="57"/>
      <c r="C174" s="57"/>
      <c r="D174" s="131"/>
      <c r="K174" s="53"/>
      <c r="L174" s="57"/>
      <c r="M174" s="57"/>
      <c r="N174" s="53"/>
      <c r="O174" s="53"/>
      <c r="P174" s="53"/>
      <c r="Q174" s="53"/>
      <c r="R174" s="57"/>
      <c r="S174" s="53"/>
      <c r="T174" s="53"/>
      <c r="U174" s="763"/>
      <c r="V174" s="53"/>
      <c r="W174" s="53"/>
      <c r="X174" s="53"/>
      <c r="Y174" s="53"/>
      <c r="Z174" s="53"/>
      <c r="AA174" s="56"/>
      <c r="AB174" s="54"/>
      <c r="AC174" s="54"/>
      <c r="AD174" s="54"/>
      <c r="AE174" s="54"/>
      <c r="AF174" s="131">
        <v>11</v>
      </c>
    </row>
    <row r="175" s="131" customFormat="1" ht="11.5" customHeight="1">
      <c r="A175" s="762"/>
      <c r="B175" s="57"/>
      <c r="C175" s="57"/>
      <c r="D175" s="131"/>
      <c r="K175" s="53"/>
      <c r="L175" s="57"/>
      <c r="M175" s="57"/>
      <c r="N175" s="53"/>
      <c r="O175" s="53"/>
      <c r="P175" s="53"/>
      <c r="Q175" s="53"/>
      <c r="R175" s="57"/>
      <c r="S175" s="53"/>
      <c r="T175" s="53"/>
      <c r="U175" s="763"/>
      <c r="V175" s="53"/>
      <c r="W175" s="53"/>
      <c r="X175" s="53"/>
      <c r="Y175" s="53"/>
      <c r="Z175" s="53"/>
      <c r="AA175" s="56"/>
      <c r="AB175" s="54"/>
      <c r="AC175" s="54"/>
      <c r="AD175" s="54"/>
      <c r="AE175" s="54"/>
      <c r="AF175" s="131">
        <v>11</v>
      </c>
    </row>
    <row r="176" s="131" customFormat="1" ht="11.5" customHeight="1">
      <c r="A176" s="762"/>
      <c r="B176" s="57"/>
      <c r="C176" s="57"/>
      <c r="D176" s="131"/>
      <c r="K176" s="53"/>
      <c r="L176" s="57"/>
      <c r="M176" s="57"/>
      <c r="N176" s="53"/>
      <c r="O176" s="53"/>
      <c r="P176" s="53"/>
      <c r="Q176" s="53"/>
      <c r="R176" s="57"/>
      <c r="S176" s="53"/>
      <c r="T176" s="53"/>
      <c r="U176" s="763"/>
      <c r="V176" s="53"/>
      <c r="W176" s="53"/>
      <c r="X176" s="53"/>
      <c r="Y176" s="53"/>
      <c r="Z176" s="53"/>
      <c r="AA176" s="56"/>
      <c r="AB176" s="54"/>
      <c r="AC176" s="54"/>
      <c r="AD176" s="54"/>
      <c r="AE176" s="54"/>
      <c r="AF176" s="131">
        <v>11</v>
      </c>
    </row>
    <row r="177" s="131" customFormat="1" ht="11.5" customHeight="1">
      <c r="A177" s="762"/>
      <c r="B177" s="57"/>
      <c r="C177" s="57"/>
      <c r="D177" s="131"/>
      <c r="K177" s="53"/>
      <c r="L177" s="57"/>
      <c r="M177" s="57"/>
      <c r="N177" s="53"/>
      <c r="O177" s="53"/>
      <c r="P177" s="53"/>
      <c r="Q177" s="53"/>
      <c r="R177" s="57"/>
      <c r="S177" s="53"/>
      <c r="T177" s="53"/>
      <c r="U177" s="763"/>
      <c r="V177" s="53"/>
      <c r="W177" s="53"/>
      <c r="X177" s="53"/>
      <c r="Y177" s="53"/>
      <c r="Z177" s="53"/>
      <c r="AA177" s="56"/>
      <c r="AB177" s="54"/>
      <c r="AC177" s="54"/>
      <c r="AD177" s="54"/>
      <c r="AE177" s="54"/>
      <c r="AF177" s="131">
        <v>11</v>
      </c>
    </row>
    <row r="178" s="131" customFormat="1" ht="11.5" customHeight="1">
      <c r="A178" s="762"/>
      <c r="B178" s="57"/>
      <c r="C178" s="57"/>
      <c r="D178" s="131"/>
      <c r="K178" s="53"/>
      <c r="L178" s="57"/>
      <c r="M178" s="57"/>
      <c r="N178" s="53"/>
      <c r="O178" s="53"/>
      <c r="P178" s="53"/>
      <c r="Q178" s="53"/>
      <c r="R178" s="57"/>
      <c r="S178" s="53"/>
      <c r="T178" s="53"/>
      <c r="U178" s="763"/>
      <c r="V178" s="53"/>
      <c r="W178" s="53"/>
      <c r="X178" s="53"/>
      <c r="Y178" s="53"/>
      <c r="Z178" s="53"/>
      <c r="AA178" s="56"/>
      <c r="AB178" s="54"/>
      <c r="AC178" s="54"/>
      <c r="AD178" s="54"/>
      <c r="AE178" s="54"/>
      <c r="AF178" s="131">
        <v>11</v>
      </c>
    </row>
    <row r="179" s="131" customFormat="1" ht="11.5" customHeight="1">
      <c r="A179" s="762"/>
      <c r="B179" s="57"/>
      <c r="C179" s="57"/>
      <c r="D179" s="131"/>
      <c r="K179" s="53"/>
      <c r="L179" s="57"/>
      <c r="M179" s="57"/>
      <c r="N179" s="53"/>
      <c r="O179" s="53"/>
      <c r="P179" s="53"/>
      <c r="Q179" s="53"/>
      <c r="R179" s="57"/>
      <c r="S179" s="53"/>
      <c r="T179" s="53"/>
      <c r="U179" s="763"/>
      <c r="V179" s="53"/>
      <c r="W179" s="53"/>
      <c r="X179" s="53"/>
      <c r="Y179" s="53"/>
      <c r="Z179" s="53"/>
      <c r="AA179" s="56"/>
      <c r="AB179" s="54"/>
      <c r="AC179" s="54"/>
      <c r="AD179" s="54"/>
      <c r="AE179" s="54"/>
      <c r="AF179" s="131">
        <v>11</v>
      </c>
    </row>
    <row r="180" s="131" customFormat="1" ht="11.5" customHeight="1">
      <c r="A180" s="762"/>
      <c r="B180" s="57"/>
      <c r="C180" s="57"/>
      <c r="D180" s="131"/>
      <c r="K180" s="53"/>
      <c r="L180" s="57"/>
      <c r="M180" s="57"/>
      <c r="N180" s="53"/>
      <c r="O180" s="53"/>
      <c r="P180" s="53"/>
      <c r="Q180" s="53"/>
      <c r="R180" s="57"/>
      <c r="S180" s="53"/>
      <c r="T180" s="53"/>
      <c r="U180" s="763"/>
      <c r="V180" s="53"/>
      <c r="W180" s="53"/>
      <c r="X180" s="53"/>
      <c r="Y180" s="53"/>
      <c r="Z180" s="53"/>
      <c r="AA180" s="56"/>
      <c r="AB180" s="54"/>
      <c r="AC180" s="54"/>
      <c r="AD180" s="54"/>
      <c r="AE180" s="54"/>
      <c r="AF180" s="131">
        <v>11</v>
      </c>
    </row>
    <row r="181" s="131" customFormat="1" ht="11.5" customHeight="1">
      <c r="A181" s="762"/>
      <c r="B181" s="57"/>
      <c r="C181" s="57"/>
      <c r="D181" s="131"/>
      <c r="K181" s="53"/>
      <c r="L181" s="57"/>
      <c r="M181" s="57"/>
      <c r="N181" s="53"/>
      <c r="O181" s="53"/>
      <c r="P181" s="53"/>
      <c r="Q181" s="53"/>
      <c r="R181" s="57"/>
      <c r="S181" s="53"/>
      <c r="T181" s="53"/>
      <c r="U181" s="763"/>
      <c r="V181" s="53"/>
      <c r="W181" s="53"/>
      <c r="X181" s="53"/>
      <c r="Y181" s="53"/>
      <c r="Z181" s="53"/>
      <c r="AA181" s="56"/>
      <c r="AB181" s="54"/>
      <c r="AC181" s="54"/>
      <c r="AD181" s="54"/>
      <c r="AE181" s="54"/>
      <c r="AF181" s="131">
        <v>11</v>
      </c>
    </row>
    <row r="182" s="131" customFormat="1" ht="11.5" customHeight="1">
      <c r="A182" s="762"/>
      <c r="B182" s="57"/>
      <c r="C182" s="57"/>
      <c r="D182" s="131"/>
      <c r="K182" s="53"/>
      <c r="L182" s="57"/>
      <c r="M182" s="57"/>
      <c r="N182" s="53"/>
      <c r="O182" s="53"/>
      <c r="P182" s="53"/>
      <c r="Q182" s="53"/>
      <c r="R182" s="57"/>
      <c r="S182" s="53"/>
      <c r="T182" s="53"/>
      <c r="U182" s="763"/>
      <c r="V182" s="53"/>
      <c r="W182" s="53"/>
      <c r="X182" s="53"/>
      <c r="Y182" s="53"/>
      <c r="Z182" s="53"/>
      <c r="AA182" s="56"/>
      <c r="AB182" s="54"/>
      <c r="AC182" s="54"/>
      <c r="AD182" s="54"/>
      <c r="AE182" s="54"/>
      <c r="AF182" s="131">
        <v>11</v>
      </c>
    </row>
    <row r="183" s="131" customFormat="1" ht="11.5" customHeight="1">
      <c r="A183" s="762"/>
      <c r="B183" s="57"/>
      <c r="C183" s="57"/>
      <c r="D183" s="131"/>
      <c r="K183" s="53"/>
      <c r="L183" s="57"/>
      <c r="M183" s="57"/>
      <c r="N183" s="53"/>
      <c r="O183" s="53"/>
      <c r="P183" s="53"/>
      <c r="Q183" s="53"/>
      <c r="R183" s="57"/>
      <c r="S183" s="53"/>
      <c r="T183" s="53"/>
      <c r="U183" s="763"/>
      <c r="V183" s="53"/>
      <c r="W183" s="53"/>
      <c r="X183" s="53"/>
      <c r="Y183" s="53"/>
      <c r="Z183" s="53"/>
      <c r="AA183" s="56"/>
      <c r="AB183" s="54"/>
      <c r="AC183" s="54"/>
      <c r="AD183" s="54"/>
      <c r="AE183" s="54"/>
      <c r="AF183" s="131">
        <v>11</v>
      </c>
    </row>
    <row r="184" s="131" customFormat="1" ht="11.5" customHeight="1">
      <c r="A184" s="762"/>
      <c r="B184" s="57"/>
      <c r="C184" s="57"/>
      <c r="D184" s="131"/>
      <c r="K184" s="53"/>
      <c r="L184" s="57"/>
      <c r="M184" s="57"/>
      <c r="N184" s="53"/>
      <c r="O184" s="53"/>
      <c r="P184" s="53"/>
      <c r="Q184" s="53"/>
      <c r="R184" s="57"/>
      <c r="S184" s="53"/>
      <c r="T184" s="53"/>
      <c r="U184" s="763"/>
      <c r="V184" s="53"/>
      <c r="W184" s="53"/>
      <c r="X184" s="53"/>
      <c r="Y184" s="53"/>
      <c r="Z184" s="53"/>
      <c r="AA184" s="56"/>
      <c r="AB184" s="54"/>
      <c r="AC184" s="54"/>
      <c r="AD184" s="54"/>
      <c r="AE184" s="54"/>
      <c r="AF184" s="131">
        <v>11</v>
      </c>
    </row>
    <row r="185" s="131" customFormat="1" ht="11.5" customHeight="1">
      <c r="A185" s="762"/>
      <c r="B185" s="57"/>
      <c r="C185" s="57"/>
      <c r="D185" s="131"/>
      <c r="K185" s="53"/>
      <c r="L185" s="57"/>
      <c r="M185" s="57"/>
      <c r="N185" s="53"/>
      <c r="O185" s="53"/>
      <c r="P185" s="53"/>
      <c r="Q185" s="53"/>
      <c r="R185" s="57"/>
      <c r="S185" s="53"/>
      <c r="T185" s="53"/>
      <c r="U185" s="763"/>
      <c r="V185" s="53"/>
      <c r="W185" s="53"/>
      <c r="X185" s="53"/>
      <c r="Y185" s="53"/>
      <c r="Z185" s="53"/>
      <c r="AA185" s="56"/>
      <c r="AB185" s="54"/>
      <c r="AC185" s="54"/>
      <c r="AD185" s="54"/>
      <c r="AE185" s="54"/>
      <c r="AF185" s="131">
        <v>11</v>
      </c>
    </row>
    <row r="186" s="131" customFormat="1" ht="11.5" customHeight="1">
      <c r="A186" s="762"/>
      <c r="B186" s="57"/>
      <c r="C186" s="57"/>
      <c r="D186" s="131"/>
      <c r="K186" s="53"/>
      <c r="L186" s="57"/>
      <c r="M186" s="57"/>
      <c r="N186" s="53"/>
      <c r="O186" s="53"/>
      <c r="P186" s="53"/>
      <c r="Q186" s="53"/>
      <c r="R186" s="57"/>
      <c r="S186" s="53"/>
      <c r="T186" s="53"/>
      <c r="U186" s="763"/>
      <c r="V186" s="53"/>
      <c r="W186" s="53"/>
      <c r="X186" s="53"/>
      <c r="Y186" s="53"/>
      <c r="Z186" s="53"/>
      <c r="AA186" s="56"/>
      <c r="AB186" s="54"/>
      <c r="AC186" s="54"/>
      <c r="AD186" s="54"/>
      <c r="AE186" s="54"/>
      <c r="AF186" s="131">
        <v>11</v>
      </c>
    </row>
    <row r="187" s="131" customFormat="1" ht="11.5" customHeight="1">
      <c r="A187" s="762"/>
      <c r="B187" s="57"/>
      <c r="C187" s="57"/>
      <c r="D187" s="131"/>
      <c r="K187" s="53"/>
      <c r="L187" s="57"/>
      <c r="M187" s="57"/>
      <c r="N187" s="53"/>
      <c r="O187" s="53"/>
      <c r="P187" s="53"/>
      <c r="Q187" s="53"/>
      <c r="R187" s="57"/>
      <c r="S187" s="53"/>
      <c r="T187" s="53"/>
      <c r="U187" s="763"/>
      <c r="V187" s="53"/>
      <c r="W187" s="53"/>
      <c r="X187" s="53"/>
      <c r="Y187" s="53"/>
      <c r="Z187" s="53"/>
      <c r="AA187" s="56"/>
      <c r="AB187" s="54"/>
      <c r="AC187" s="54"/>
      <c r="AD187" s="54"/>
      <c r="AE187" s="54"/>
      <c r="AF187" s="131">
        <v>11</v>
      </c>
    </row>
    <row r="188" s="131" customFormat="1" ht="11.5" customHeight="1">
      <c r="A188" s="762"/>
      <c r="B188" s="57"/>
      <c r="C188" s="57"/>
      <c r="D188" s="131"/>
      <c r="K188" s="53"/>
      <c r="L188" s="57"/>
      <c r="M188" s="57"/>
      <c r="N188" s="53"/>
      <c r="O188" s="53"/>
      <c r="P188" s="53"/>
      <c r="Q188" s="53"/>
      <c r="R188" s="57"/>
      <c r="S188" s="53"/>
      <c r="T188" s="53"/>
      <c r="U188" s="763"/>
      <c r="V188" s="53"/>
      <c r="W188" s="53"/>
      <c r="X188" s="53"/>
      <c r="Y188" s="53"/>
      <c r="Z188" s="53"/>
      <c r="AA188" s="56"/>
      <c r="AB188" s="54"/>
      <c r="AC188" s="54"/>
      <c r="AD188" s="54"/>
      <c r="AE188" s="54"/>
      <c r="AF188" s="131">
        <v>11</v>
      </c>
    </row>
    <row r="189" s="131" customFormat="1" ht="11.5" customHeight="1">
      <c r="A189" s="762"/>
      <c r="B189" s="57"/>
      <c r="C189" s="57"/>
      <c r="D189" s="131"/>
      <c r="K189" s="53"/>
      <c r="L189" s="57"/>
      <c r="M189" s="57"/>
      <c r="N189" s="53"/>
      <c r="O189" s="53"/>
      <c r="P189" s="53"/>
      <c r="Q189" s="53"/>
      <c r="R189" s="57"/>
      <c r="S189" s="53"/>
      <c r="T189" s="53"/>
      <c r="U189" s="763"/>
      <c r="V189" s="53"/>
      <c r="W189" s="53"/>
      <c r="X189" s="53"/>
      <c r="Y189" s="53"/>
      <c r="Z189" s="53"/>
      <c r="AA189" s="56"/>
      <c r="AB189" s="54"/>
      <c r="AC189" s="54"/>
      <c r="AD189" s="54"/>
      <c r="AE189" s="54"/>
      <c r="AF189" s="131">
        <v>11</v>
      </c>
    </row>
    <row r="190" s="131" customFormat="1" ht="11.5" customHeight="1">
      <c r="A190" s="762"/>
      <c r="B190" s="57"/>
      <c r="C190" s="57"/>
      <c r="D190" s="131"/>
      <c r="K190" s="53"/>
      <c r="L190" s="57"/>
      <c r="M190" s="57"/>
      <c r="N190" s="53"/>
      <c r="O190" s="53"/>
      <c r="P190" s="53"/>
      <c r="Q190" s="53"/>
      <c r="R190" s="57"/>
      <c r="S190" s="53"/>
      <c r="T190" s="53"/>
      <c r="U190" s="763"/>
      <c r="V190" s="53"/>
      <c r="W190" s="53"/>
      <c r="X190" s="53"/>
      <c r="Y190" s="53"/>
      <c r="Z190" s="53"/>
      <c r="AA190" s="56"/>
      <c r="AB190" s="54"/>
      <c r="AC190" s="54"/>
      <c r="AD190" s="54"/>
      <c r="AE190" s="54"/>
      <c r="AF190" s="131">
        <v>11</v>
      </c>
    </row>
    <row r="191" s="131" customFormat="1" ht="11.5" customHeight="1">
      <c r="A191" s="762"/>
      <c r="B191" s="57"/>
      <c r="C191" s="57"/>
      <c r="D191" s="131"/>
      <c r="K191" s="53"/>
      <c r="L191" s="57"/>
      <c r="M191" s="57"/>
      <c r="N191" s="53"/>
      <c r="O191" s="53"/>
      <c r="P191" s="53"/>
      <c r="Q191" s="53"/>
      <c r="R191" s="57"/>
      <c r="S191" s="53"/>
      <c r="T191" s="53"/>
      <c r="U191" s="763"/>
      <c r="V191" s="53"/>
      <c r="W191" s="53"/>
      <c r="X191" s="53"/>
      <c r="Y191" s="53"/>
      <c r="Z191" s="53"/>
      <c r="AA191" s="56"/>
      <c r="AB191" s="54"/>
      <c r="AC191" s="54"/>
      <c r="AD191" s="54"/>
      <c r="AE191" s="54"/>
      <c r="AF191" s="131">
        <v>11</v>
      </c>
    </row>
    <row r="192" s="131" customFormat="1" ht="11.5" customHeight="1">
      <c r="A192" s="762"/>
      <c r="B192" s="57"/>
      <c r="C192" s="57"/>
      <c r="D192" s="131"/>
      <c r="K192" s="53"/>
      <c r="L192" s="57"/>
      <c r="M192" s="57"/>
      <c r="N192" s="53"/>
      <c r="O192" s="53"/>
      <c r="P192" s="53"/>
      <c r="Q192" s="53"/>
      <c r="R192" s="57"/>
      <c r="S192" s="53"/>
      <c r="T192" s="53"/>
      <c r="U192" s="763"/>
      <c r="V192" s="53"/>
      <c r="W192" s="53"/>
      <c r="X192" s="53"/>
      <c r="Y192" s="53"/>
      <c r="Z192" s="53"/>
      <c r="AA192" s="56"/>
      <c r="AB192" s="54"/>
      <c r="AC192" s="54"/>
      <c r="AD192" s="54"/>
      <c r="AE192" s="54"/>
      <c r="AF192" s="131">
        <v>11</v>
      </c>
    </row>
    <row r="193" s="131" customFormat="1" ht="11.5" customHeight="1">
      <c r="A193" s="762"/>
      <c r="B193" s="57"/>
      <c r="C193" s="57"/>
      <c r="D193" s="131"/>
      <c r="K193" s="53"/>
      <c r="L193" s="57"/>
      <c r="M193" s="57"/>
      <c r="N193" s="53"/>
      <c r="O193" s="53"/>
      <c r="P193" s="53"/>
      <c r="Q193" s="53"/>
      <c r="R193" s="57"/>
      <c r="S193" s="53"/>
      <c r="T193" s="53"/>
      <c r="U193" s="763"/>
      <c r="V193" s="53"/>
      <c r="W193" s="53"/>
      <c r="X193" s="53"/>
      <c r="Y193" s="53"/>
      <c r="Z193" s="53"/>
      <c r="AA193" s="56"/>
      <c r="AB193" s="54"/>
      <c r="AC193" s="54"/>
      <c r="AD193" s="54"/>
      <c r="AE193" s="54"/>
      <c r="AF193" s="131">
        <v>11</v>
      </c>
    </row>
    <row r="194" s="131" customFormat="1" ht="11.5" customHeight="1">
      <c r="A194" s="762"/>
      <c r="B194" s="57"/>
      <c r="C194" s="57"/>
      <c r="D194" s="131"/>
      <c r="K194" s="53"/>
      <c r="L194" s="57"/>
      <c r="M194" s="57"/>
      <c r="N194" s="53"/>
      <c r="O194" s="53"/>
      <c r="P194" s="53"/>
      <c r="Q194" s="53"/>
      <c r="R194" s="57"/>
      <c r="S194" s="53"/>
      <c r="T194" s="53"/>
      <c r="U194" s="763"/>
      <c r="V194" s="53"/>
      <c r="W194" s="53"/>
      <c r="X194" s="53"/>
      <c r="Y194" s="53"/>
      <c r="Z194" s="53"/>
      <c r="AA194" s="56"/>
      <c r="AB194" s="54"/>
      <c r="AC194" s="54"/>
      <c r="AD194" s="54"/>
      <c r="AE194" s="54"/>
      <c r="AF194" s="131">
        <v>11</v>
      </c>
    </row>
    <row r="195" s="131" customFormat="1" ht="11.5" customHeight="1">
      <c r="A195" s="762"/>
      <c r="B195" s="57"/>
      <c r="C195" s="57"/>
      <c r="D195" s="131"/>
      <c r="K195" s="53"/>
      <c r="L195" s="57"/>
      <c r="M195" s="57"/>
      <c r="N195" s="53"/>
      <c r="O195" s="53"/>
      <c r="P195" s="53"/>
      <c r="Q195" s="53"/>
      <c r="R195" s="57"/>
      <c r="S195" s="53"/>
      <c r="T195" s="53"/>
      <c r="U195" s="763"/>
      <c r="V195" s="53"/>
      <c r="W195" s="53"/>
      <c r="X195" s="53"/>
      <c r="Y195" s="53"/>
      <c r="Z195" s="53"/>
      <c r="AA195" s="56"/>
      <c r="AB195" s="54"/>
      <c r="AC195" s="54"/>
      <c r="AD195" s="54"/>
      <c r="AE195" s="54"/>
      <c r="AF195" s="131">
        <v>11</v>
      </c>
    </row>
    <row r="196" s="131" customFormat="1" ht="11.5" customHeight="1">
      <c r="A196" s="762"/>
      <c r="B196" s="57"/>
      <c r="C196" s="57"/>
      <c r="D196" s="131"/>
      <c r="K196" s="53"/>
      <c r="L196" s="57"/>
      <c r="M196" s="57"/>
      <c r="N196" s="53"/>
      <c r="O196" s="53"/>
      <c r="P196" s="53"/>
      <c r="Q196" s="53"/>
      <c r="R196" s="57"/>
      <c r="S196" s="53"/>
      <c r="T196" s="53"/>
      <c r="U196" s="763"/>
      <c r="V196" s="53"/>
      <c r="W196" s="53"/>
      <c r="X196" s="53"/>
      <c r="Y196" s="53"/>
      <c r="Z196" s="53"/>
      <c r="AA196" s="56"/>
      <c r="AB196" s="54"/>
      <c r="AC196" s="54"/>
      <c r="AD196" s="54"/>
      <c r="AE196" s="54"/>
      <c r="AF196" s="131">
        <v>11</v>
      </c>
    </row>
    <row r="197" s="131" customFormat="1" ht="11.5" customHeight="1">
      <c r="A197" s="762"/>
      <c r="B197" s="57"/>
      <c r="C197" s="57"/>
      <c r="D197" s="131"/>
      <c r="K197" s="53"/>
      <c r="L197" s="57"/>
      <c r="M197" s="57"/>
      <c r="N197" s="53"/>
      <c r="O197" s="53"/>
      <c r="P197" s="53"/>
      <c r="Q197" s="53"/>
      <c r="R197" s="57"/>
      <c r="S197" s="53"/>
      <c r="T197" s="53"/>
      <c r="U197" s="763"/>
      <c r="V197" s="53"/>
      <c r="W197" s="53"/>
      <c r="X197" s="53"/>
      <c r="Y197" s="53"/>
      <c r="Z197" s="53"/>
      <c r="AA197" s="56"/>
      <c r="AB197" s="54"/>
      <c r="AC197" s="54"/>
      <c r="AD197" s="54"/>
      <c r="AE197" s="54"/>
      <c r="AF197" s="131">
        <v>11</v>
      </c>
    </row>
    <row r="198" s="131" customFormat="1" ht="11.5" customHeight="1">
      <c r="A198" s="762"/>
      <c r="B198" s="57"/>
      <c r="C198" s="57"/>
      <c r="D198" s="131"/>
      <c r="K198" s="53"/>
      <c r="L198" s="57"/>
      <c r="M198" s="57"/>
      <c r="N198" s="53"/>
      <c r="O198" s="53"/>
      <c r="P198" s="53"/>
      <c r="Q198" s="53"/>
      <c r="R198" s="57"/>
      <c r="S198" s="53"/>
      <c r="T198" s="53"/>
      <c r="U198" s="763"/>
      <c r="V198" s="53"/>
      <c r="W198" s="53"/>
      <c r="X198" s="53"/>
      <c r="Y198" s="53"/>
      <c r="Z198" s="53"/>
      <c r="AA198" s="56"/>
      <c r="AB198" s="54"/>
      <c r="AC198" s="54"/>
      <c r="AD198" s="54"/>
      <c r="AE198" s="54"/>
      <c r="AF198" s="131">
        <v>11</v>
      </c>
    </row>
    <row r="199" s="131" customFormat="1" ht="11.5" customHeight="1">
      <c r="A199" s="762"/>
      <c r="B199" s="57"/>
      <c r="C199" s="57"/>
      <c r="D199" s="131"/>
      <c r="K199" s="53"/>
      <c r="L199" s="57"/>
      <c r="M199" s="57"/>
      <c r="N199" s="53"/>
      <c r="O199" s="53"/>
      <c r="P199" s="53"/>
      <c r="Q199" s="53"/>
      <c r="R199" s="57"/>
      <c r="S199" s="53"/>
      <c r="T199" s="53"/>
      <c r="U199" s="763"/>
      <c r="V199" s="53"/>
      <c r="W199" s="53"/>
      <c r="X199" s="53"/>
      <c r="Y199" s="53"/>
      <c r="Z199" s="53"/>
      <c r="AA199" s="56"/>
      <c r="AB199" s="54"/>
      <c r="AC199" s="54"/>
      <c r="AD199" s="54"/>
      <c r="AE199" s="54"/>
      <c r="AF199" s="131">
        <v>11</v>
      </c>
    </row>
    <row r="200" s="131" customFormat="1" ht="11.5" customHeight="1">
      <c r="A200" s="762"/>
      <c r="B200" s="57"/>
      <c r="C200" s="57"/>
      <c r="D200" s="131"/>
      <c r="K200" s="53"/>
      <c r="L200" s="57"/>
      <c r="M200" s="57"/>
      <c r="N200" s="53"/>
      <c r="O200" s="53"/>
      <c r="P200" s="53"/>
      <c r="Q200" s="53"/>
      <c r="R200" s="57"/>
      <c r="S200" s="53"/>
      <c r="T200" s="53"/>
      <c r="U200" s="763"/>
      <c r="V200" s="53"/>
      <c r="W200" s="53"/>
      <c r="X200" s="53"/>
      <c r="Y200" s="53"/>
      <c r="Z200" s="53"/>
      <c r="AA200" s="56"/>
      <c r="AB200" s="54"/>
      <c r="AC200" s="54"/>
      <c r="AD200" s="54"/>
      <c r="AE200" s="54"/>
      <c r="AF200" s="131">
        <v>11</v>
      </c>
    </row>
    <row r="201" s="131" customFormat="1" ht="11.5" customHeight="1">
      <c r="A201" s="762"/>
      <c r="B201" s="57"/>
      <c r="C201" s="57"/>
      <c r="D201" s="131"/>
      <c r="K201" s="53"/>
      <c r="L201" s="57"/>
      <c r="M201" s="57"/>
      <c r="N201" s="53"/>
      <c r="O201" s="53"/>
      <c r="P201" s="53"/>
      <c r="Q201" s="53"/>
      <c r="R201" s="57"/>
      <c r="S201" s="53"/>
      <c r="T201" s="53"/>
      <c r="U201" s="763"/>
      <c r="V201" s="53"/>
      <c r="W201" s="53"/>
      <c r="X201" s="53"/>
      <c r="Y201" s="53"/>
      <c r="Z201" s="53"/>
      <c r="AA201" s="56"/>
      <c r="AB201" s="54"/>
      <c r="AC201" s="54"/>
      <c r="AD201" s="54"/>
      <c r="AE201" s="54"/>
      <c r="AF201" s="131">
        <v>11</v>
      </c>
    </row>
    <row r="202" s="131" customFormat="1" ht="11.5" customHeight="1">
      <c r="A202" s="762"/>
      <c r="B202" s="57"/>
      <c r="C202" s="57"/>
      <c r="D202" s="131"/>
      <c r="K202" s="53"/>
      <c r="L202" s="57"/>
      <c r="M202" s="57"/>
      <c r="N202" s="53"/>
      <c r="O202" s="53"/>
      <c r="P202" s="53"/>
      <c r="Q202" s="53"/>
      <c r="R202" s="57"/>
      <c r="S202" s="53"/>
      <c r="T202" s="53"/>
      <c r="U202" s="763"/>
      <c r="V202" s="53"/>
      <c r="W202" s="53"/>
      <c r="X202" s="53"/>
      <c r="Y202" s="53"/>
      <c r="Z202" s="53"/>
      <c r="AA202" s="56"/>
      <c r="AB202" s="54"/>
      <c r="AC202" s="54"/>
      <c r="AD202" s="54"/>
      <c r="AE202" s="54"/>
      <c r="AF202" s="131">
        <v>11</v>
      </c>
    </row>
    <row r="203" ht="11.5" customHeight="1">
      <c r="AF203" s="50">
        <v>11</v>
      </c>
    </row>
    <row r="204" ht="11.5" customHeight="1">
      <c r="AF204" s="50">
        <v>11</v>
      </c>
    </row>
    <row r="205" ht="11.5" customHeight="1">
      <c r="AF205" s="50">
        <v>11</v>
      </c>
    </row>
    <row r="206" ht="11.5" customHeight="1">
      <c r="A206" s="830"/>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30"/>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30"/>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30"/>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830"/>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830"/>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830"/>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830"/>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830"/>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830"/>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830"/>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62" t="s">
        <v>82</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63">
        <v>8</v>
      </c>
      <c r="V217" s="53">
        <v>8</v>
      </c>
      <c r="W217" s="53">
        <v>8</v>
      </c>
      <c r="X217" s="53">
        <v>8</v>
      </c>
      <c r="Y217" s="53">
        <v>8</v>
      </c>
      <c r="Z217" s="53">
        <v>8</v>
      </c>
      <c r="AA217" s="56">
        <v>8</v>
      </c>
      <c r="AB217" s="56">
        <v>8</v>
      </c>
      <c r="AC217" s="56">
        <v>8</v>
      </c>
      <c r="AD217" s="56">
        <v>8</v>
      </c>
      <c r="AE217" s="56">
        <v>8</v>
      </c>
      <c r="AF217" s="50">
        <v>11</v>
      </c>
    </row>
  </sheetData>
  <sheetProtection autoFilter="0" deleteColumns="0" deleteRows="0" formatCells="1" formatColumns="0" formatRows="0" insertColumns="1" insertHyperlinks="1" insertRows="0" pivotTables="1" selectLockedCells="0" selectUnlockedCells="0" sheet="0" sort="0"/>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DD0071-0074-4F3B-9822-005C009E004A}"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 xr:uid="{00E200AE-00C3-4551-BAFA-0026007400B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F90047-00A9-4ABA-84FB-002A006200E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6900C4-00FB-411F-98EE-00B7006B003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5300B1-00A4-4195-BEF0-003300210099}"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62"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63" width="8.00390625"/>
    <col customWidth="1" min="22" max="26" style="53" width="8.00390625"/>
    <col customWidth="1" min="27" max="31" style="56" width="8.00390625"/>
    <col hidden="1" min="32" max="32" style="50" width="9.140625"/>
  </cols>
  <sheetData>
    <row r="1" s="53" customFormat="1" ht="22.5" hidden="1" customHeight="1">
      <c r="A1" s="762"/>
      <c r="C1" s="57"/>
      <c r="D1" s="53"/>
      <c r="H1" s="53">
        <v>4</v>
      </c>
      <c r="I1" s="53">
        <v>4</v>
      </c>
      <c r="L1" s="57"/>
      <c r="M1" s="57"/>
      <c r="R1" s="57"/>
      <c r="AF1" s="53" t="s">
        <v>14</v>
      </c>
    </row>
    <row r="2" s="53" customFormat="1" ht="22.5" hidden="1" customHeight="1">
      <c r="A2" s="762"/>
      <c r="C2" s="57"/>
      <c r="D2" s="772"/>
      <c r="E2" s="157"/>
      <c r="F2" s="159"/>
      <c r="G2" s="157" t="s">
        <v>554</v>
      </c>
      <c r="H2" s="521"/>
      <c r="I2" s="521"/>
      <c r="J2" s="773" t="s">
        <v>557</v>
      </c>
      <c r="K2" s="766"/>
      <c r="L2" s="57"/>
      <c r="M2" s="57"/>
      <c r="R2" s="57"/>
      <c r="U2" s="763"/>
      <c r="AA2" s="56"/>
      <c r="AB2" s="56"/>
      <c r="AC2" s="56"/>
      <c r="AD2" s="56"/>
      <c r="AE2" s="56"/>
      <c r="AF2" s="53">
        <v>0</v>
      </c>
    </row>
    <row r="3" ht="11.25" hidden="1" customHeight="1">
      <c r="AF3" s="50">
        <v>0</v>
      </c>
    </row>
    <row r="4" s="56" customFormat="1" ht="11.25" hidden="1" customHeight="1">
      <c r="A4" s="762"/>
      <c r="B4" s="53"/>
      <c r="C4" s="57"/>
      <c r="D4" s="56"/>
      <c r="J4" s="56">
        <v>4</v>
      </c>
      <c r="K4" s="53"/>
      <c r="L4" s="57"/>
      <c r="M4" s="57"/>
      <c r="N4" s="53"/>
      <c r="O4" s="53"/>
      <c r="P4" s="53"/>
      <c r="Q4" s="53"/>
      <c r="R4" s="57"/>
      <c r="S4" s="53"/>
      <c r="T4" s="53"/>
      <c r="U4" s="763"/>
      <c r="V4" s="53"/>
      <c r="W4" s="53"/>
      <c r="X4" s="53"/>
      <c r="Y4" s="53"/>
      <c r="Z4" s="53"/>
      <c r="AF4" s="56">
        <v>0</v>
      </c>
    </row>
    <row r="5" ht="11.5" customHeight="1">
      <c r="AF5" s="50">
        <v>11</v>
      </c>
    </row>
    <row r="6" ht="33.75" customHeight="1">
      <c r="E6" s="466" t="s">
        <v>776</v>
      </c>
      <c r="F6" s="466"/>
      <c r="G6" s="466"/>
      <c r="H6" s="466"/>
      <c r="I6" s="466"/>
      <c r="J6" s="240"/>
      <c r="AF6" s="50">
        <v>32</v>
      </c>
    </row>
    <row r="7" ht="25.199999999999999" customHeight="1">
      <c r="E7" s="320" t="str">
        <f>IF(org=0,"Не определено",org)</f>
        <v xml:space="preserve">филиал Пермская ГРЭС АО "Интер РАО - Электрогенерация"</v>
      </c>
      <c r="F7" s="320"/>
      <c r="G7" s="320"/>
      <c r="H7" s="320"/>
      <c r="I7" s="320"/>
      <c r="AF7" s="50">
        <v>24</v>
      </c>
    </row>
    <row r="8" ht="11.5" customHeight="1">
      <c r="E8" s="776"/>
      <c r="F8" s="776"/>
      <c r="G8" s="776"/>
      <c r="H8" s="776"/>
      <c r="I8" s="776"/>
      <c r="AF8" s="50">
        <v>11</v>
      </c>
    </row>
    <row r="9" s="57" customFormat="1" ht="1.05" customHeight="1">
      <c r="A9" s="545"/>
      <c r="D9" s="57"/>
      <c r="H9" s="777"/>
      <c r="I9" s="777" t="s">
        <v>117</v>
      </c>
      <c r="AF9" s="57">
        <v>1</v>
      </c>
    </row>
    <row r="10" ht="11.5" customHeight="1">
      <c r="E10" s="778"/>
      <c r="F10" s="779" t="s">
        <v>105</v>
      </c>
      <c r="G10" s="780"/>
      <c r="H10" s="781" t="str">
        <f>IF(H9="","",INDEX(DIFFERENTIATION_UNMERGE_VD,MATCH(H9,DIFFERENTIATION_ID_DIFF,0)))</f>
        <v/>
      </c>
      <c r="I10" s="781">
        <f>IF(I9="","",INDEX(DIFFERENTIATION_UNMERGE_VD,MATCH(I9,DIFFERENTIATION_ID_DIFF,0)))</f>
        <v>0</v>
      </c>
      <c r="J10" s="157"/>
      <c r="AF10" s="50">
        <v>11</v>
      </c>
    </row>
    <row r="11" ht="11.5" customHeight="1">
      <c r="E11" s="778"/>
      <c r="F11" s="779" t="s">
        <v>566</v>
      </c>
      <c r="G11" s="780"/>
      <c r="H11" s="781" t="str">
        <f>IF(H9="","",INDEX(DIFFERENTIATION_UNMERGE_AREA,MATCH(H9,DIFFERENTIATION_ID_DIFF,0)))</f>
        <v/>
      </c>
      <c r="I11" s="781" t="str">
        <f>IF(I9="","",INDEX(DIFFERENTIATION_UNMERGE_AREA,MATCH(I9,DIFFERENTIATION_ID_DIFF,0)))</f>
        <v/>
      </c>
      <c r="J11" s="157"/>
      <c r="AF11" s="50">
        <v>11</v>
      </c>
    </row>
    <row r="12" ht="11.25" hidden="1" customHeight="1">
      <c r="E12" s="863"/>
      <c r="F12" s="893" t="s">
        <v>567</v>
      </c>
      <c r="G12" s="894"/>
      <c r="H12" s="895" t="str">
        <f>IF(H9="","",INDEX(DIFFERENTIATION_UNMERGE_SYSTEM,MATCH(H9,DIFFERENTIATION_ID_DIFF,0)))</f>
        <v/>
      </c>
      <c r="I12" s="895" t="str">
        <f>IF(I9="","",INDEX(DIFFERENTIATION_UNMERGE_SYSTEM,MATCH(I9,DIFFERENTIATION_ID_DIFF,0)))</f>
        <v xml:space="preserve">без дифференциации</v>
      </c>
      <c r="J12" s="157"/>
      <c r="AF12" s="50">
        <v>0</v>
      </c>
    </row>
    <row r="13" ht="11.5" customHeight="1">
      <c r="E13" s="782" t="s">
        <v>302</v>
      </c>
      <c r="F13" s="783"/>
      <c r="G13" s="783"/>
      <c r="H13" s="779"/>
      <c r="I13" s="779"/>
      <c r="J13" s="157"/>
      <c r="AF13" s="50">
        <v>11</v>
      </c>
    </row>
    <row r="14" ht="24" customHeight="1">
      <c r="E14" s="157" t="s">
        <v>88</v>
      </c>
      <c r="F14" s="157" t="s">
        <v>304</v>
      </c>
      <c r="G14" s="157" t="s">
        <v>568</v>
      </c>
      <c r="H14" s="157" t="s">
        <v>305</v>
      </c>
      <c r="I14" s="157" t="s">
        <v>305</v>
      </c>
      <c r="J14" s="157"/>
      <c r="AF14" s="50">
        <v>23</v>
      </c>
    </row>
    <row r="15" ht="19.949999999999999" customHeight="1">
      <c r="D15" s="125"/>
      <c r="E15" s="866" t="s">
        <v>109</v>
      </c>
      <c r="F15" s="330" t="s">
        <v>777</v>
      </c>
      <c r="G15" s="157" t="s">
        <v>554</v>
      </c>
      <c r="H15" s="784"/>
      <c r="I15" s="784"/>
      <c r="J15" s="499" t="s">
        <v>778</v>
      </c>
      <c r="K15" s="766" t="s">
        <v>632</v>
      </c>
      <c r="AF15" s="50">
        <v>19</v>
      </c>
    </row>
    <row r="16" ht="24" customHeight="1">
      <c r="D16" s="125"/>
      <c r="E16" s="866" t="s">
        <v>110</v>
      </c>
      <c r="F16" s="343" t="s">
        <v>779</v>
      </c>
      <c r="G16" s="157" t="s">
        <v>554</v>
      </c>
      <c r="H16" s="785">
        <f>SUM(H17,H20:H27)</f>
        <v>0</v>
      </c>
      <c r="I16" s="785">
        <f>SUM(I17,I20:I27)</f>
        <v>0</v>
      </c>
      <c r="J16" s="499" t="s">
        <v>780</v>
      </c>
      <c r="K16" s="766" t="s">
        <v>632</v>
      </c>
      <c r="AF16" s="50">
        <v>23</v>
      </c>
    </row>
    <row r="17" ht="35.649999999999999" customHeight="1">
      <c r="D17" s="125"/>
      <c r="E17" s="872" t="s">
        <v>710</v>
      </c>
      <c r="F17" s="394" t="s">
        <v>781</v>
      </c>
      <c r="G17" s="72" t="s">
        <v>554</v>
      </c>
      <c r="H17" s="784"/>
      <c r="I17" s="784"/>
      <c r="J17" s="499" t="s">
        <v>782</v>
      </c>
      <c r="K17" s="766"/>
      <c r="AF17" s="50">
        <v>34</v>
      </c>
    </row>
    <row r="18" ht="19.949999999999999" customHeight="1">
      <c r="D18" s="125"/>
      <c r="E18" s="872" t="s">
        <v>713</v>
      </c>
      <c r="F18" s="897" t="s">
        <v>783</v>
      </c>
      <c r="G18" s="72" t="s">
        <v>554</v>
      </c>
      <c r="H18" s="784"/>
      <c r="I18" s="784"/>
      <c r="J18" s="499"/>
      <c r="K18" s="766"/>
      <c r="AF18" s="50">
        <v>19</v>
      </c>
    </row>
    <row r="19" ht="24" customHeight="1">
      <c r="D19" s="125"/>
      <c r="E19" s="872" t="s">
        <v>716</v>
      </c>
      <c r="F19" s="897" t="s">
        <v>784</v>
      </c>
      <c r="G19" s="72" t="s">
        <v>554</v>
      </c>
      <c r="H19" s="784"/>
      <c r="I19" s="784"/>
      <c r="J19" s="499"/>
      <c r="K19" s="766"/>
      <c r="AF19" s="50">
        <v>23</v>
      </c>
    </row>
    <row r="20" ht="35.649999999999999" customHeight="1">
      <c r="D20" s="125"/>
      <c r="E20" s="872" t="s">
        <v>309</v>
      </c>
      <c r="F20" s="394" t="s">
        <v>785</v>
      </c>
      <c r="G20" s="72" t="s">
        <v>554</v>
      </c>
      <c r="H20" s="784"/>
      <c r="I20" s="784"/>
      <c r="J20" s="499"/>
      <c r="K20" s="766"/>
      <c r="AF20" s="50">
        <v>34</v>
      </c>
    </row>
    <row r="21" ht="48.25" customHeight="1">
      <c r="D21" s="125"/>
      <c r="E21" s="872" t="s">
        <v>312</v>
      </c>
      <c r="F21" s="394" t="s">
        <v>786</v>
      </c>
      <c r="G21" s="72" t="s">
        <v>554</v>
      </c>
      <c r="H21" s="784"/>
      <c r="I21" s="784"/>
      <c r="J21" s="499"/>
      <c r="K21" s="766"/>
      <c r="AF21" s="50">
        <v>46</v>
      </c>
    </row>
    <row r="22" ht="60" customHeight="1">
      <c r="D22" s="125"/>
      <c r="E22" s="872" t="s">
        <v>730</v>
      </c>
      <c r="F22" s="394" t="s">
        <v>787</v>
      </c>
      <c r="G22" s="72" t="s">
        <v>554</v>
      </c>
      <c r="H22" s="784"/>
      <c r="I22" s="784"/>
      <c r="J22" s="499"/>
      <c r="K22" s="766"/>
      <c r="AF22" s="50">
        <v>57</v>
      </c>
    </row>
    <row r="23" ht="35.649999999999999" customHeight="1">
      <c r="D23" s="125"/>
      <c r="E23" s="872" t="s">
        <v>737</v>
      </c>
      <c r="F23" s="394" t="s">
        <v>788</v>
      </c>
      <c r="G23" s="72" t="s">
        <v>554</v>
      </c>
      <c r="H23" s="784"/>
      <c r="I23" s="784"/>
      <c r="J23" s="499"/>
      <c r="K23" s="766"/>
      <c r="AF23" s="50">
        <v>34</v>
      </c>
    </row>
    <row r="24" ht="35.649999999999999" customHeight="1">
      <c r="D24" s="125"/>
      <c r="E24" s="872" t="s">
        <v>739</v>
      </c>
      <c r="F24" s="394" t="s">
        <v>789</v>
      </c>
      <c r="G24" s="72" t="s">
        <v>554</v>
      </c>
      <c r="H24" s="784"/>
      <c r="I24" s="784"/>
      <c r="J24" s="499"/>
      <c r="K24" s="766"/>
      <c r="AF24" s="50">
        <v>34</v>
      </c>
    </row>
    <row r="25" ht="24" customHeight="1">
      <c r="D25" s="125"/>
      <c r="E25" s="872" t="s">
        <v>741</v>
      </c>
      <c r="F25" s="394" t="s">
        <v>790</v>
      </c>
      <c r="G25" s="72" t="s">
        <v>554</v>
      </c>
      <c r="H25" s="784"/>
      <c r="I25" s="784"/>
      <c r="J25" s="499"/>
      <c r="K25" s="766"/>
      <c r="AF25" s="50">
        <v>23</v>
      </c>
    </row>
    <row r="26" ht="76.5" customHeight="1">
      <c r="D26" s="125"/>
      <c r="E26" s="872" t="s">
        <v>743</v>
      </c>
      <c r="F26" s="394" t="s">
        <v>791</v>
      </c>
      <c r="G26" s="72" t="s">
        <v>554</v>
      </c>
      <c r="H26" s="784"/>
      <c r="I26" s="784"/>
      <c r="J26" s="499"/>
      <c r="K26" s="766"/>
      <c r="AF26" s="50">
        <v>73</v>
      </c>
    </row>
    <row r="27" s="53" customFormat="1" ht="35.649999999999999" customHeight="1">
      <c r="A27" s="762"/>
      <c r="C27" s="57"/>
      <c r="D27" s="125"/>
      <c r="E27" s="868" t="s">
        <v>747</v>
      </c>
      <c r="F27" s="186" t="s">
        <v>792</v>
      </c>
      <c r="G27" s="324" t="s">
        <v>554</v>
      </c>
      <c r="H27" s="807">
        <f>SUM(H28:H29)</f>
        <v>0</v>
      </c>
      <c r="I27" s="807">
        <f>SUM(I28:I29)</f>
        <v>0</v>
      </c>
      <c r="J27" s="499" t="s">
        <v>745</v>
      </c>
      <c r="K27" s="766"/>
      <c r="L27" s="57"/>
      <c r="M27" s="57"/>
      <c r="R27" s="57"/>
      <c r="U27" s="763"/>
      <c r="AA27" s="56"/>
      <c r="AB27" s="56"/>
      <c r="AC27" s="56"/>
      <c r="AD27" s="56"/>
      <c r="AE27" s="56"/>
      <c r="AF27" s="53">
        <v>34</v>
      </c>
    </row>
    <row r="28" s="57" customFormat="1" ht="1.05" customHeight="1">
      <c r="A28" s="545"/>
      <c r="D28" s="545"/>
      <c r="E28" s="158" t="str">
        <f>E27&amp;".0"</f>
        <v>2.9.0</v>
      </c>
      <c r="F28" s="808"/>
      <c r="G28" s="158"/>
      <c r="H28" s="809"/>
      <c r="I28" s="809"/>
      <c r="J28" s="810"/>
      <c r="AF28" s="57">
        <v>1</v>
      </c>
    </row>
    <row r="29" s="53" customFormat="1" ht="19.949999999999999" customHeight="1">
      <c r="A29" s="762"/>
      <c r="C29" s="57"/>
      <c r="D29" s="128"/>
      <c r="E29" s="797"/>
      <c r="F29" s="896" t="s">
        <v>579</v>
      </c>
      <c r="G29" s="798"/>
      <c r="H29" s="799"/>
      <c r="I29" s="799"/>
      <c r="J29" s="563" t="s">
        <v>746</v>
      </c>
      <c r="K29" s="766"/>
      <c r="L29" s="57"/>
      <c r="M29" s="57"/>
      <c r="R29" s="57"/>
      <c r="U29" s="763"/>
      <c r="AA29" s="56"/>
      <c r="AB29" s="56"/>
      <c r="AC29" s="56"/>
      <c r="AD29" s="56"/>
      <c r="AE29" s="56"/>
      <c r="AF29" s="53">
        <v>19</v>
      </c>
    </row>
    <row r="30" s="53" customFormat="1" ht="24" customHeight="1">
      <c r="A30" s="762"/>
      <c r="C30" s="57"/>
      <c r="D30" s="125"/>
      <c r="E30" s="872" t="s">
        <v>90</v>
      </c>
      <c r="F30" s="898" t="s">
        <v>793</v>
      </c>
      <c r="G30" s="72" t="s">
        <v>554</v>
      </c>
      <c r="H30" s="784"/>
      <c r="I30" s="784"/>
      <c r="J30" s="499"/>
      <c r="K30" s="766"/>
      <c r="L30" s="57"/>
      <c r="M30" s="57"/>
      <c r="R30" s="57"/>
      <c r="U30" s="763"/>
      <c r="AA30" s="56"/>
      <c r="AB30" s="56"/>
      <c r="AC30" s="56"/>
      <c r="AD30" s="56"/>
      <c r="AE30" s="56"/>
      <c r="AF30" s="53">
        <v>23</v>
      </c>
    </row>
    <row r="31" s="53" customFormat="1" ht="35.649999999999999" customHeight="1">
      <c r="A31" s="762"/>
      <c r="C31" s="57"/>
      <c r="D31" s="803"/>
      <c r="E31" s="872" t="s">
        <v>91</v>
      </c>
      <c r="F31" s="898" t="s">
        <v>794</v>
      </c>
      <c r="G31" s="72" t="s">
        <v>554</v>
      </c>
      <c r="H31" s="784"/>
      <c r="I31" s="784"/>
      <c r="J31" s="499" t="s">
        <v>795</v>
      </c>
      <c r="K31" s="766"/>
      <c r="L31" s="57"/>
      <c r="M31" s="57"/>
      <c r="R31" s="57"/>
      <c r="U31" s="763"/>
      <c r="AA31" s="56"/>
      <c r="AB31" s="56"/>
      <c r="AC31" s="56"/>
      <c r="AD31" s="56"/>
      <c r="AE31" s="56"/>
      <c r="AF31" s="53">
        <v>34</v>
      </c>
    </row>
    <row r="32" s="53" customFormat="1" ht="24" customHeight="1">
      <c r="A32" s="762"/>
      <c r="C32" s="57"/>
      <c r="D32" s="125"/>
      <c r="E32" s="872" t="s">
        <v>755</v>
      </c>
      <c r="F32" s="394" t="s">
        <v>759</v>
      </c>
      <c r="G32" s="72" t="s">
        <v>554</v>
      </c>
      <c r="H32" s="784"/>
      <c r="I32" s="784"/>
      <c r="J32" s="499" t="s">
        <v>796</v>
      </c>
      <c r="K32" s="766"/>
      <c r="L32" s="57"/>
      <c r="M32" s="57"/>
      <c r="R32" s="57"/>
      <c r="U32" s="763"/>
      <c r="AA32" s="56"/>
      <c r="AB32" s="56"/>
      <c r="AC32" s="56"/>
      <c r="AD32" s="56"/>
      <c r="AE32" s="56"/>
      <c r="AF32" s="53">
        <v>23</v>
      </c>
    </row>
    <row r="33" s="53" customFormat="1" ht="24" customHeight="1">
      <c r="A33" s="762"/>
      <c r="C33" s="57"/>
      <c r="D33" s="125"/>
      <c r="E33" s="872" t="s">
        <v>797</v>
      </c>
      <c r="F33" s="394" t="s">
        <v>798</v>
      </c>
      <c r="G33" s="72" t="s">
        <v>554</v>
      </c>
      <c r="H33" s="784"/>
      <c r="I33" s="784"/>
      <c r="J33" s="499" t="s">
        <v>799</v>
      </c>
      <c r="K33" s="766"/>
      <c r="L33" s="57"/>
      <c r="M33" s="57"/>
      <c r="R33" s="57"/>
      <c r="U33" s="763"/>
      <c r="AA33" s="56"/>
      <c r="AB33" s="56"/>
      <c r="AC33" s="56"/>
      <c r="AD33" s="56"/>
      <c r="AE33" s="56"/>
      <c r="AF33" s="53">
        <v>23</v>
      </c>
    </row>
    <row r="34" s="53" customFormat="1" ht="24" customHeight="1">
      <c r="A34" s="762"/>
      <c r="C34" s="57"/>
      <c r="D34" s="125"/>
      <c r="E34" s="872" t="s">
        <v>800</v>
      </c>
      <c r="F34" s="394" t="s">
        <v>765</v>
      </c>
      <c r="G34" s="72" t="s">
        <v>554</v>
      </c>
      <c r="H34" s="784"/>
      <c r="I34" s="784"/>
      <c r="J34" s="499" t="s">
        <v>801</v>
      </c>
      <c r="K34" s="766"/>
      <c r="L34" s="57"/>
      <c r="M34" s="57"/>
      <c r="R34" s="57"/>
      <c r="U34" s="763"/>
      <c r="AA34" s="56"/>
      <c r="AB34" s="56"/>
      <c r="AC34" s="56"/>
      <c r="AD34" s="56"/>
      <c r="AE34" s="56"/>
      <c r="AF34" s="53">
        <v>23</v>
      </c>
    </row>
    <row r="35" s="53" customFormat="1" ht="35.649999999999999" customHeight="1">
      <c r="A35" s="762"/>
      <c r="C35" s="57" t="s">
        <v>590</v>
      </c>
      <c r="D35" s="125"/>
      <c r="E35" s="872" t="s">
        <v>111</v>
      </c>
      <c r="F35" s="898" t="s">
        <v>631</v>
      </c>
      <c r="G35" s="157" t="s">
        <v>308</v>
      </c>
      <c r="H35" s="815"/>
      <c r="I35" s="815"/>
      <c r="J35" s="499" t="s">
        <v>802</v>
      </c>
      <c r="K35" s="766"/>
      <c r="L35" s="57"/>
      <c r="M35" s="57"/>
      <c r="R35" s="57"/>
      <c r="U35" s="763"/>
      <c r="AA35" s="56"/>
      <c r="AB35" s="56"/>
      <c r="AC35" s="56"/>
      <c r="AD35" s="56"/>
      <c r="AE35" s="56"/>
      <c r="AF35" s="53">
        <v>34</v>
      </c>
    </row>
    <row r="36" s="53" customFormat="1" ht="35.649999999999999" customHeight="1">
      <c r="A36" s="762"/>
      <c r="C36" s="57"/>
      <c r="D36" s="125"/>
      <c r="E36" s="872" t="s">
        <v>92</v>
      </c>
      <c r="F36" s="898" t="s">
        <v>803</v>
      </c>
      <c r="G36" s="72" t="s">
        <v>770</v>
      </c>
      <c r="H36" s="774"/>
      <c r="I36" s="774"/>
      <c r="J36" s="499" t="s">
        <v>771</v>
      </c>
      <c r="K36" s="766"/>
      <c r="L36" s="57"/>
      <c r="M36" s="57"/>
      <c r="R36" s="57"/>
      <c r="U36" s="763"/>
      <c r="AA36" s="56"/>
      <c r="AB36" s="56"/>
      <c r="AC36" s="56"/>
      <c r="AD36" s="56"/>
      <c r="AE36" s="56"/>
      <c r="AF36" s="53">
        <v>34</v>
      </c>
    </row>
    <row r="37" s="53" customFormat="1" ht="24" customHeight="1">
      <c r="A37" s="762"/>
      <c r="C37" s="57"/>
      <c r="D37" s="125"/>
      <c r="E37" s="872" t="s">
        <v>93</v>
      </c>
      <c r="F37" s="898" t="s">
        <v>804</v>
      </c>
      <c r="G37" s="72" t="s">
        <v>773</v>
      </c>
      <c r="H37" s="774"/>
      <c r="I37" s="774"/>
      <c r="J37" s="499" t="s">
        <v>774</v>
      </c>
      <c r="K37" s="766"/>
      <c r="L37" s="57"/>
      <c r="M37" s="57"/>
      <c r="R37" s="57"/>
      <c r="U37" s="763"/>
      <c r="AA37" s="56"/>
      <c r="AB37" s="56"/>
      <c r="AC37" s="56"/>
      <c r="AD37" s="56"/>
      <c r="AE37" s="56"/>
      <c r="AF37" s="53">
        <v>23</v>
      </c>
    </row>
    <row r="38" ht="11.5" customHeight="1">
      <c r="D38" s="125"/>
      <c r="AF38" s="50">
        <v>11</v>
      </c>
    </row>
    <row r="39" ht="27.300000000000001" customHeight="1">
      <c r="D39" s="125"/>
      <c r="E39" s="490" t="s">
        <v>805</v>
      </c>
      <c r="F39" s="588" t="s">
        <v>806</v>
      </c>
      <c r="G39" s="588"/>
      <c r="H39" s="409"/>
      <c r="I39" s="409"/>
      <c r="J39" s="409"/>
      <c r="AF39" s="50">
        <v>26</v>
      </c>
    </row>
    <row r="40" s="131" customFormat="1" ht="39.75" customHeight="1">
      <c r="A40" s="762"/>
      <c r="B40" s="57"/>
      <c r="C40" s="57"/>
      <c r="D40" s="131"/>
      <c r="F40" s="588" t="s">
        <v>807</v>
      </c>
      <c r="G40" s="588"/>
      <c r="H40" s="409"/>
      <c r="I40" s="409"/>
      <c r="J40" s="409"/>
      <c r="K40" s="53"/>
      <c r="L40" s="57"/>
      <c r="M40" s="57"/>
      <c r="N40" s="53"/>
      <c r="O40" s="53"/>
      <c r="P40" s="53"/>
      <c r="Q40" s="53"/>
      <c r="R40" s="57"/>
      <c r="S40" s="53"/>
      <c r="T40" s="53"/>
      <c r="U40" s="763"/>
      <c r="V40" s="53"/>
      <c r="W40" s="53"/>
      <c r="X40" s="53"/>
      <c r="Y40" s="53"/>
      <c r="Z40" s="53"/>
      <c r="AA40" s="56"/>
      <c r="AB40" s="54"/>
      <c r="AC40" s="54"/>
      <c r="AD40" s="54"/>
      <c r="AE40" s="54"/>
      <c r="AF40" s="131">
        <v>38</v>
      </c>
    </row>
    <row r="41" s="131" customFormat="1" ht="11.5" customHeight="1">
      <c r="A41" s="762"/>
      <c r="B41" s="57"/>
      <c r="C41" s="57"/>
      <c r="D41" s="131"/>
      <c r="K41" s="53"/>
      <c r="L41" s="57"/>
      <c r="M41" s="57"/>
      <c r="N41" s="53"/>
      <c r="O41" s="53"/>
      <c r="P41" s="53"/>
      <c r="Q41" s="53"/>
      <c r="R41" s="57"/>
      <c r="S41" s="53"/>
      <c r="T41" s="53"/>
      <c r="U41" s="763"/>
      <c r="V41" s="53"/>
      <c r="W41" s="53"/>
      <c r="X41" s="53"/>
      <c r="Y41" s="53"/>
      <c r="Z41" s="53"/>
      <c r="AA41" s="56"/>
      <c r="AB41" s="54"/>
      <c r="AC41" s="54"/>
      <c r="AD41" s="54"/>
      <c r="AE41" s="54"/>
      <c r="AF41" s="131">
        <v>11</v>
      </c>
    </row>
    <row r="42" s="131" customFormat="1" ht="11.5" customHeight="1">
      <c r="A42" s="762"/>
      <c r="B42" s="57"/>
      <c r="C42" s="57"/>
      <c r="D42" s="131"/>
      <c r="K42" s="53"/>
      <c r="L42" s="57"/>
      <c r="M42" s="57"/>
      <c r="N42" s="53"/>
      <c r="O42" s="53"/>
      <c r="P42" s="53"/>
      <c r="Q42" s="53"/>
      <c r="R42" s="57"/>
      <c r="S42" s="53"/>
      <c r="T42" s="53"/>
      <c r="U42" s="763"/>
      <c r="V42" s="53"/>
      <c r="W42" s="53"/>
      <c r="X42" s="53"/>
      <c r="Y42" s="53"/>
      <c r="Z42" s="53"/>
      <c r="AA42" s="56"/>
      <c r="AB42" s="54"/>
      <c r="AC42" s="54"/>
      <c r="AD42" s="54"/>
      <c r="AE42" s="54"/>
      <c r="AF42" s="131">
        <v>11</v>
      </c>
    </row>
    <row r="43" s="131" customFormat="1" ht="11.5" customHeight="1">
      <c r="A43" s="762"/>
      <c r="B43" s="57"/>
      <c r="C43" s="57"/>
      <c r="D43" s="131"/>
      <c r="H43" s="54"/>
      <c r="I43" s="54"/>
      <c r="K43" s="53"/>
      <c r="L43" s="57"/>
      <c r="M43" s="57"/>
      <c r="N43" s="53"/>
      <c r="O43" s="53"/>
      <c r="P43" s="53"/>
      <c r="Q43" s="53"/>
      <c r="R43" s="57"/>
      <c r="S43" s="53"/>
      <c r="T43" s="53"/>
      <c r="U43" s="763"/>
      <c r="V43" s="53"/>
      <c r="W43" s="53"/>
      <c r="X43" s="53"/>
      <c r="Y43" s="53"/>
      <c r="Z43" s="53"/>
      <c r="AA43" s="56"/>
      <c r="AB43" s="54"/>
      <c r="AC43" s="54"/>
      <c r="AD43" s="54"/>
      <c r="AE43" s="54"/>
      <c r="AF43" s="131">
        <v>11</v>
      </c>
    </row>
    <row r="44" s="131" customFormat="1" ht="11.5" customHeight="1">
      <c r="A44" s="762"/>
      <c r="B44" s="57"/>
      <c r="C44" s="57"/>
      <c r="D44" s="131"/>
      <c r="K44" s="53"/>
      <c r="L44" s="57"/>
      <c r="M44" s="57"/>
      <c r="N44" s="53"/>
      <c r="O44" s="53"/>
      <c r="P44" s="53"/>
      <c r="Q44" s="53"/>
      <c r="R44" s="57"/>
      <c r="S44" s="53"/>
      <c r="T44" s="53"/>
      <c r="U44" s="763"/>
      <c r="V44" s="53"/>
      <c r="W44" s="53"/>
      <c r="X44" s="53"/>
      <c r="Y44" s="53"/>
      <c r="Z44" s="53"/>
      <c r="AA44" s="56"/>
      <c r="AB44" s="54"/>
      <c r="AC44" s="54"/>
      <c r="AD44" s="54"/>
      <c r="AE44" s="54"/>
      <c r="AF44" s="131">
        <v>11</v>
      </c>
    </row>
    <row r="45" s="131" customFormat="1" ht="11.5" customHeight="1">
      <c r="A45" s="762"/>
      <c r="B45" s="57"/>
      <c r="C45" s="57"/>
      <c r="D45" s="131"/>
      <c r="K45" s="53"/>
      <c r="L45" s="57"/>
      <c r="M45" s="57"/>
      <c r="N45" s="53"/>
      <c r="O45" s="53"/>
      <c r="P45" s="53"/>
      <c r="Q45" s="53"/>
      <c r="R45" s="57"/>
      <c r="S45" s="53"/>
      <c r="T45" s="53"/>
      <c r="U45" s="763"/>
      <c r="V45" s="53"/>
      <c r="W45" s="53"/>
      <c r="X45" s="53"/>
      <c r="Y45" s="53"/>
      <c r="Z45" s="53"/>
      <c r="AA45" s="56"/>
      <c r="AB45" s="54"/>
      <c r="AC45" s="54"/>
      <c r="AD45" s="54"/>
      <c r="AE45" s="54"/>
      <c r="AF45" s="131">
        <v>11</v>
      </c>
    </row>
    <row r="46" s="131" customFormat="1" ht="11.5" customHeight="1">
      <c r="A46" s="762"/>
      <c r="B46" s="57"/>
      <c r="C46" s="57"/>
      <c r="D46" s="131"/>
      <c r="K46" s="53"/>
      <c r="L46" s="57"/>
      <c r="M46" s="57"/>
      <c r="N46" s="53"/>
      <c r="O46" s="53"/>
      <c r="P46" s="53"/>
      <c r="Q46" s="53"/>
      <c r="R46" s="57"/>
      <c r="S46" s="53"/>
      <c r="T46" s="53"/>
      <c r="U46" s="763"/>
      <c r="V46" s="53"/>
      <c r="W46" s="53"/>
      <c r="X46" s="53"/>
      <c r="Y46" s="53"/>
      <c r="Z46" s="53"/>
      <c r="AA46" s="56"/>
      <c r="AB46" s="54"/>
      <c r="AC46" s="54"/>
      <c r="AD46" s="54"/>
      <c r="AE46" s="54"/>
      <c r="AF46" s="131">
        <v>11</v>
      </c>
    </row>
    <row r="47" s="131" customFormat="1" ht="11.5" customHeight="1">
      <c r="A47" s="762"/>
      <c r="B47" s="57"/>
      <c r="C47" s="57"/>
      <c r="D47" s="131"/>
      <c r="K47" s="53"/>
      <c r="L47" s="57"/>
      <c r="M47" s="57"/>
      <c r="N47" s="53"/>
      <c r="O47" s="53"/>
      <c r="P47" s="53"/>
      <c r="Q47" s="53"/>
      <c r="R47" s="57"/>
      <c r="S47" s="53"/>
      <c r="T47" s="53"/>
      <c r="U47" s="763"/>
      <c r="V47" s="53"/>
      <c r="W47" s="53"/>
      <c r="X47" s="53"/>
      <c r="Y47" s="53"/>
      <c r="Z47" s="53"/>
      <c r="AA47" s="56"/>
      <c r="AB47" s="54"/>
      <c r="AC47" s="54"/>
      <c r="AD47" s="54"/>
      <c r="AE47" s="54"/>
      <c r="AF47" s="131">
        <v>11</v>
      </c>
    </row>
    <row r="48" s="131" customFormat="1" ht="11.5" customHeight="1">
      <c r="A48" s="762"/>
      <c r="B48" s="57"/>
      <c r="C48" s="57"/>
      <c r="D48" s="131"/>
      <c r="K48" s="53"/>
      <c r="L48" s="57"/>
      <c r="M48" s="57"/>
      <c r="N48" s="53"/>
      <c r="O48" s="53"/>
      <c r="P48" s="53"/>
      <c r="Q48" s="53"/>
      <c r="R48" s="57"/>
      <c r="S48" s="53"/>
      <c r="T48" s="53"/>
      <c r="U48" s="763"/>
      <c r="V48" s="53"/>
      <c r="W48" s="53"/>
      <c r="X48" s="53"/>
      <c r="Y48" s="53"/>
      <c r="Z48" s="53"/>
      <c r="AA48" s="56"/>
      <c r="AB48" s="54"/>
      <c r="AC48" s="54"/>
      <c r="AD48" s="54"/>
      <c r="AE48" s="54"/>
      <c r="AF48" s="131">
        <v>11</v>
      </c>
    </row>
    <row r="49" s="131" customFormat="1" ht="11.5" customHeight="1">
      <c r="A49" s="762"/>
      <c r="B49" s="57"/>
      <c r="C49" s="57"/>
      <c r="D49" s="131"/>
      <c r="K49" s="53"/>
      <c r="L49" s="57"/>
      <c r="M49" s="57"/>
      <c r="N49" s="53"/>
      <c r="O49" s="53"/>
      <c r="P49" s="53"/>
      <c r="Q49" s="53"/>
      <c r="R49" s="57"/>
      <c r="S49" s="53"/>
      <c r="T49" s="53"/>
      <c r="U49" s="763"/>
      <c r="V49" s="53"/>
      <c r="W49" s="53"/>
      <c r="X49" s="53"/>
      <c r="Y49" s="53"/>
      <c r="Z49" s="53"/>
      <c r="AA49" s="56"/>
      <c r="AB49" s="54"/>
      <c r="AC49" s="54"/>
      <c r="AD49" s="54"/>
      <c r="AE49" s="54"/>
      <c r="AF49" s="131">
        <v>11</v>
      </c>
    </row>
    <row r="50" s="131" customFormat="1" ht="11.5" customHeight="1">
      <c r="A50" s="762"/>
      <c r="B50" s="57"/>
      <c r="C50" s="57"/>
      <c r="D50" s="131"/>
      <c r="K50" s="53"/>
      <c r="L50" s="57"/>
      <c r="M50" s="57"/>
      <c r="N50" s="53"/>
      <c r="O50" s="53"/>
      <c r="P50" s="53"/>
      <c r="Q50" s="53"/>
      <c r="R50" s="57"/>
      <c r="S50" s="53"/>
      <c r="T50" s="53"/>
      <c r="U50" s="763"/>
      <c r="V50" s="53"/>
      <c r="W50" s="53"/>
      <c r="X50" s="53"/>
      <c r="Y50" s="53"/>
      <c r="Z50" s="53"/>
      <c r="AA50" s="56"/>
      <c r="AB50" s="54"/>
      <c r="AC50" s="54"/>
      <c r="AD50" s="54"/>
      <c r="AE50" s="54"/>
      <c r="AF50" s="131">
        <v>11</v>
      </c>
    </row>
    <row r="51" s="131" customFormat="1" ht="11.5" customHeight="1">
      <c r="A51" s="762"/>
      <c r="B51" s="57"/>
      <c r="C51" s="57"/>
      <c r="D51" s="131"/>
      <c r="K51" s="53"/>
      <c r="L51" s="57"/>
      <c r="M51" s="57"/>
      <c r="N51" s="53"/>
      <c r="O51" s="53"/>
      <c r="P51" s="53"/>
      <c r="Q51" s="53"/>
      <c r="R51" s="57"/>
      <c r="S51" s="53"/>
      <c r="T51" s="53"/>
      <c r="U51" s="763"/>
      <c r="V51" s="53"/>
      <c r="W51" s="53"/>
      <c r="X51" s="53"/>
      <c r="Y51" s="53"/>
      <c r="Z51" s="53"/>
      <c r="AA51" s="56"/>
      <c r="AB51" s="54"/>
      <c r="AC51" s="54"/>
      <c r="AD51" s="54"/>
      <c r="AE51" s="54"/>
      <c r="AF51" s="131">
        <v>11</v>
      </c>
    </row>
    <row r="52" s="131" customFormat="1" ht="11.5" customHeight="1">
      <c r="A52" s="762"/>
      <c r="B52" s="57"/>
      <c r="C52" s="57"/>
      <c r="D52" s="131"/>
      <c r="K52" s="53"/>
      <c r="L52" s="57"/>
      <c r="M52" s="57"/>
      <c r="N52" s="53"/>
      <c r="O52" s="53"/>
      <c r="P52" s="53"/>
      <c r="Q52" s="53"/>
      <c r="R52" s="57"/>
      <c r="S52" s="53"/>
      <c r="T52" s="53"/>
      <c r="U52" s="763"/>
      <c r="V52" s="53"/>
      <c r="W52" s="53"/>
      <c r="X52" s="53"/>
      <c r="Y52" s="53"/>
      <c r="Z52" s="53"/>
      <c r="AA52" s="56"/>
      <c r="AB52" s="54"/>
      <c r="AC52" s="54"/>
      <c r="AD52" s="54"/>
      <c r="AE52" s="54"/>
      <c r="AF52" s="131">
        <v>11</v>
      </c>
    </row>
    <row r="53" s="131" customFormat="1" ht="11.5" customHeight="1">
      <c r="A53" s="762"/>
      <c r="B53" s="57"/>
      <c r="C53" s="57"/>
      <c r="D53" s="131"/>
      <c r="K53" s="53"/>
      <c r="L53" s="57"/>
      <c r="M53" s="57"/>
      <c r="N53" s="53"/>
      <c r="O53" s="53"/>
      <c r="P53" s="53"/>
      <c r="Q53" s="53"/>
      <c r="R53" s="57"/>
      <c r="S53" s="53"/>
      <c r="T53" s="53"/>
      <c r="U53" s="763"/>
      <c r="V53" s="53"/>
      <c r="W53" s="53"/>
      <c r="X53" s="53"/>
      <c r="Y53" s="53"/>
      <c r="Z53" s="53"/>
      <c r="AA53" s="56"/>
      <c r="AB53" s="54"/>
      <c r="AC53" s="54"/>
      <c r="AD53" s="54"/>
      <c r="AE53" s="54"/>
      <c r="AF53" s="131">
        <v>11</v>
      </c>
    </row>
    <row r="54" s="131" customFormat="1" ht="11.5" customHeight="1">
      <c r="A54" s="762"/>
      <c r="B54" s="57"/>
      <c r="C54" s="57"/>
      <c r="D54" s="131"/>
      <c r="K54" s="53"/>
      <c r="L54" s="57"/>
      <c r="M54" s="57"/>
      <c r="N54" s="53"/>
      <c r="O54" s="53"/>
      <c r="P54" s="53"/>
      <c r="Q54" s="53"/>
      <c r="R54" s="57"/>
      <c r="S54" s="53"/>
      <c r="T54" s="53"/>
      <c r="U54" s="763"/>
      <c r="V54" s="53"/>
      <c r="W54" s="53"/>
      <c r="X54" s="53"/>
      <c r="Y54" s="53"/>
      <c r="Z54" s="53"/>
      <c r="AA54" s="56"/>
      <c r="AB54" s="54"/>
      <c r="AC54" s="54"/>
      <c r="AD54" s="54"/>
      <c r="AE54" s="54"/>
      <c r="AF54" s="131">
        <v>11</v>
      </c>
    </row>
    <row r="55" s="131" customFormat="1" ht="11.5" customHeight="1">
      <c r="A55" s="762"/>
      <c r="B55" s="57"/>
      <c r="C55" s="57"/>
      <c r="D55" s="131"/>
      <c r="K55" s="53"/>
      <c r="L55" s="57"/>
      <c r="M55" s="57"/>
      <c r="N55" s="53"/>
      <c r="O55" s="53"/>
      <c r="P55" s="53"/>
      <c r="Q55" s="53"/>
      <c r="R55" s="57"/>
      <c r="S55" s="53"/>
      <c r="T55" s="53"/>
      <c r="U55" s="763"/>
      <c r="V55" s="53"/>
      <c r="W55" s="53"/>
      <c r="X55" s="53"/>
      <c r="Y55" s="53"/>
      <c r="Z55" s="53"/>
      <c r="AA55" s="56"/>
      <c r="AB55" s="54"/>
      <c r="AC55" s="54"/>
      <c r="AD55" s="54"/>
      <c r="AE55" s="54"/>
      <c r="AF55" s="131">
        <v>11</v>
      </c>
    </row>
    <row r="56" s="131" customFormat="1" ht="11.5" customHeight="1">
      <c r="A56" s="762"/>
      <c r="B56" s="57"/>
      <c r="C56" s="57"/>
      <c r="D56" s="131"/>
      <c r="K56" s="53"/>
      <c r="L56" s="57"/>
      <c r="M56" s="57"/>
      <c r="N56" s="53"/>
      <c r="O56" s="53"/>
      <c r="P56" s="53"/>
      <c r="Q56" s="53"/>
      <c r="R56" s="57"/>
      <c r="S56" s="53"/>
      <c r="T56" s="53"/>
      <c r="U56" s="763"/>
      <c r="V56" s="53"/>
      <c r="W56" s="53"/>
      <c r="X56" s="53"/>
      <c r="Y56" s="53"/>
      <c r="Z56" s="53"/>
      <c r="AA56" s="56"/>
      <c r="AB56" s="54"/>
      <c r="AC56" s="54"/>
      <c r="AD56" s="54"/>
      <c r="AE56" s="54"/>
      <c r="AF56" s="131">
        <v>11</v>
      </c>
    </row>
    <row r="57" s="131" customFormat="1" ht="11.5" customHeight="1">
      <c r="A57" s="762"/>
      <c r="B57" s="57"/>
      <c r="C57" s="57"/>
      <c r="D57" s="131"/>
      <c r="K57" s="53"/>
      <c r="L57" s="57"/>
      <c r="M57" s="57"/>
      <c r="N57" s="53"/>
      <c r="O57" s="53"/>
      <c r="P57" s="53"/>
      <c r="Q57" s="53"/>
      <c r="R57" s="57"/>
      <c r="S57" s="53"/>
      <c r="T57" s="53"/>
      <c r="U57" s="763"/>
      <c r="V57" s="53"/>
      <c r="W57" s="53"/>
      <c r="X57" s="53"/>
      <c r="Y57" s="53"/>
      <c r="Z57" s="53"/>
      <c r="AA57" s="56"/>
      <c r="AB57" s="54"/>
      <c r="AC57" s="54"/>
      <c r="AD57" s="54"/>
      <c r="AE57" s="54"/>
      <c r="AF57" s="131">
        <v>11</v>
      </c>
    </row>
    <row r="58" s="131" customFormat="1" ht="11.5" customHeight="1">
      <c r="A58" s="762"/>
      <c r="B58" s="57"/>
      <c r="C58" s="57"/>
      <c r="D58" s="131"/>
      <c r="K58" s="53"/>
      <c r="L58" s="57"/>
      <c r="M58" s="57"/>
      <c r="N58" s="53"/>
      <c r="O58" s="53"/>
      <c r="P58" s="53"/>
      <c r="Q58" s="53"/>
      <c r="R58" s="57"/>
      <c r="S58" s="53"/>
      <c r="T58" s="53"/>
      <c r="U58" s="763"/>
      <c r="V58" s="53"/>
      <c r="W58" s="53"/>
      <c r="X58" s="53"/>
      <c r="Y58" s="53"/>
      <c r="Z58" s="53"/>
      <c r="AA58" s="56"/>
      <c r="AB58" s="54"/>
      <c r="AC58" s="54"/>
      <c r="AD58" s="54"/>
      <c r="AE58" s="54"/>
      <c r="AF58" s="131">
        <v>11</v>
      </c>
    </row>
    <row r="59" s="131" customFormat="1" ht="11.5" customHeight="1">
      <c r="A59" s="762"/>
      <c r="B59" s="57"/>
      <c r="C59" s="57"/>
      <c r="D59" s="131"/>
      <c r="K59" s="53"/>
      <c r="L59" s="57"/>
      <c r="M59" s="57"/>
      <c r="N59" s="53"/>
      <c r="O59" s="53"/>
      <c r="P59" s="53"/>
      <c r="Q59" s="53"/>
      <c r="R59" s="57"/>
      <c r="S59" s="53"/>
      <c r="T59" s="53"/>
      <c r="U59" s="763"/>
      <c r="V59" s="53"/>
      <c r="W59" s="53"/>
      <c r="X59" s="53"/>
      <c r="Y59" s="53"/>
      <c r="Z59" s="53"/>
      <c r="AA59" s="56"/>
      <c r="AB59" s="54"/>
      <c r="AC59" s="54"/>
      <c r="AD59" s="54"/>
      <c r="AE59" s="54"/>
      <c r="AF59" s="131">
        <v>11</v>
      </c>
    </row>
    <row r="60" s="131" customFormat="1" ht="11.5" customHeight="1">
      <c r="A60" s="762"/>
      <c r="B60" s="57"/>
      <c r="C60" s="57"/>
      <c r="D60" s="131"/>
      <c r="K60" s="53"/>
      <c r="L60" s="57"/>
      <c r="M60" s="57"/>
      <c r="N60" s="53"/>
      <c r="O60" s="53"/>
      <c r="P60" s="53"/>
      <c r="Q60" s="53"/>
      <c r="R60" s="57"/>
      <c r="S60" s="53"/>
      <c r="T60" s="53"/>
      <c r="U60" s="763"/>
      <c r="V60" s="53"/>
      <c r="W60" s="53"/>
      <c r="X60" s="53"/>
      <c r="Y60" s="53"/>
      <c r="Z60" s="53"/>
      <c r="AA60" s="56"/>
      <c r="AB60" s="54"/>
      <c r="AC60" s="54"/>
      <c r="AD60" s="54"/>
      <c r="AE60" s="54"/>
      <c r="AF60" s="131">
        <v>11</v>
      </c>
    </row>
    <row r="61" s="131" customFormat="1" ht="11.5" customHeight="1">
      <c r="A61" s="762"/>
      <c r="B61" s="57"/>
      <c r="C61" s="57"/>
      <c r="D61" s="131"/>
      <c r="K61" s="53"/>
      <c r="L61" s="57"/>
      <c r="M61" s="57"/>
      <c r="N61" s="53"/>
      <c r="O61" s="53"/>
      <c r="P61" s="53"/>
      <c r="Q61" s="53"/>
      <c r="R61" s="57"/>
      <c r="S61" s="53"/>
      <c r="T61" s="53"/>
      <c r="U61" s="763"/>
      <c r="V61" s="53"/>
      <c r="W61" s="53"/>
      <c r="X61" s="53"/>
      <c r="Y61" s="53"/>
      <c r="Z61" s="53"/>
      <c r="AA61" s="56"/>
      <c r="AB61" s="54"/>
      <c r="AC61" s="54"/>
      <c r="AD61" s="54"/>
      <c r="AE61" s="54"/>
      <c r="AF61" s="131">
        <v>11</v>
      </c>
    </row>
    <row r="62" s="131" customFormat="1" ht="11.5" customHeight="1">
      <c r="A62" s="762"/>
      <c r="B62" s="57"/>
      <c r="C62" s="57"/>
      <c r="D62" s="131"/>
      <c r="K62" s="53"/>
      <c r="L62" s="57"/>
      <c r="M62" s="57"/>
      <c r="N62" s="53"/>
      <c r="O62" s="53"/>
      <c r="P62" s="53"/>
      <c r="Q62" s="53"/>
      <c r="R62" s="57"/>
      <c r="S62" s="53"/>
      <c r="T62" s="53"/>
      <c r="U62" s="763"/>
      <c r="V62" s="53"/>
      <c r="W62" s="53"/>
      <c r="X62" s="53"/>
      <c r="Y62" s="53"/>
      <c r="Z62" s="53"/>
      <c r="AA62" s="56"/>
      <c r="AB62" s="54"/>
      <c r="AC62" s="54"/>
      <c r="AD62" s="54"/>
      <c r="AE62" s="54"/>
      <c r="AF62" s="131">
        <v>11</v>
      </c>
    </row>
    <row r="63" s="131" customFormat="1" ht="11.5" customHeight="1">
      <c r="A63" s="762"/>
      <c r="B63" s="57"/>
      <c r="C63" s="57"/>
      <c r="D63" s="131"/>
      <c r="K63" s="53"/>
      <c r="L63" s="57"/>
      <c r="M63" s="57"/>
      <c r="N63" s="53"/>
      <c r="O63" s="53"/>
      <c r="P63" s="53"/>
      <c r="Q63" s="53"/>
      <c r="R63" s="57"/>
      <c r="S63" s="53"/>
      <c r="T63" s="53"/>
      <c r="U63" s="763"/>
      <c r="V63" s="53"/>
      <c r="W63" s="53"/>
      <c r="X63" s="53"/>
      <c r="Y63" s="53"/>
      <c r="Z63" s="53"/>
      <c r="AA63" s="56"/>
      <c r="AB63" s="54"/>
      <c r="AC63" s="54"/>
      <c r="AD63" s="54"/>
      <c r="AE63" s="54"/>
      <c r="AF63" s="131">
        <v>11</v>
      </c>
    </row>
    <row r="64" s="131" customFormat="1" ht="11.5" customHeight="1">
      <c r="A64" s="762"/>
      <c r="B64" s="57"/>
      <c r="C64" s="57"/>
      <c r="D64" s="131"/>
      <c r="K64" s="53"/>
      <c r="L64" s="57"/>
      <c r="M64" s="57"/>
      <c r="N64" s="53"/>
      <c r="O64" s="53"/>
      <c r="P64" s="53"/>
      <c r="Q64" s="53"/>
      <c r="R64" s="57"/>
      <c r="S64" s="53"/>
      <c r="T64" s="53"/>
      <c r="U64" s="763"/>
      <c r="V64" s="53"/>
      <c r="W64" s="53"/>
      <c r="X64" s="53"/>
      <c r="Y64" s="53"/>
      <c r="Z64" s="53"/>
      <c r="AA64" s="56"/>
      <c r="AB64" s="54"/>
      <c r="AC64" s="54"/>
      <c r="AD64" s="54"/>
      <c r="AE64" s="54"/>
      <c r="AF64" s="131">
        <v>11</v>
      </c>
    </row>
    <row r="65" s="131" customFormat="1" ht="11.5" customHeight="1">
      <c r="A65" s="762"/>
      <c r="B65" s="57"/>
      <c r="C65" s="57"/>
      <c r="D65" s="131"/>
      <c r="K65" s="53"/>
      <c r="L65" s="57"/>
      <c r="M65" s="57"/>
      <c r="N65" s="53"/>
      <c r="O65" s="53"/>
      <c r="P65" s="53"/>
      <c r="Q65" s="53"/>
      <c r="R65" s="57"/>
      <c r="S65" s="53"/>
      <c r="T65" s="53"/>
      <c r="U65" s="763"/>
      <c r="V65" s="53"/>
      <c r="W65" s="53"/>
      <c r="X65" s="53"/>
      <c r="Y65" s="53"/>
      <c r="Z65" s="53"/>
      <c r="AA65" s="56"/>
      <c r="AB65" s="54"/>
      <c r="AC65" s="54"/>
      <c r="AD65" s="54"/>
      <c r="AE65" s="54"/>
      <c r="AF65" s="131">
        <v>11</v>
      </c>
    </row>
    <row r="66" s="131" customFormat="1" ht="11.5" customHeight="1">
      <c r="A66" s="762"/>
      <c r="B66" s="57"/>
      <c r="C66" s="57"/>
      <c r="D66" s="131"/>
      <c r="K66" s="53"/>
      <c r="L66" s="57"/>
      <c r="M66" s="57"/>
      <c r="N66" s="53"/>
      <c r="O66" s="53"/>
      <c r="P66" s="53"/>
      <c r="Q66" s="53"/>
      <c r="R66" s="57"/>
      <c r="S66" s="53"/>
      <c r="T66" s="53"/>
      <c r="U66" s="763"/>
      <c r="V66" s="53"/>
      <c r="W66" s="53"/>
      <c r="X66" s="53"/>
      <c r="Y66" s="53"/>
      <c r="Z66" s="53"/>
      <c r="AA66" s="56"/>
      <c r="AB66" s="54"/>
      <c r="AC66" s="54"/>
      <c r="AD66" s="54"/>
      <c r="AE66" s="54"/>
      <c r="AF66" s="131">
        <v>11</v>
      </c>
    </row>
    <row r="67" s="131" customFormat="1" ht="11.5" customHeight="1">
      <c r="A67" s="762"/>
      <c r="B67" s="57"/>
      <c r="C67" s="57"/>
      <c r="D67" s="131"/>
      <c r="K67" s="53"/>
      <c r="L67" s="57"/>
      <c r="M67" s="57"/>
      <c r="N67" s="53"/>
      <c r="O67" s="53"/>
      <c r="P67" s="53"/>
      <c r="Q67" s="53"/>
      <c r="R67" s="57"/>
      <c r="S67" s="53"/>
      <c r="T67" s="53"/>
      <c r="U67" s="763"/>
      <c r="V67" s="53"/>
      <c r="W67" s="53"/>
      <c r="X67" s="53"/>
      <c r="Y67" s="53"/>
      <c r="Z67" s="53"/>
      <c r="AA67" s="56"/>
      <c r="AB67" s="54"/>
      <c r="AC67" s="54"/>
      <c r="AD67" s="54"/>
      <c r="AE67" s="54"/>
      <c r="AF67" s="131">
        <v>11</v>
      </c>
    </row>
    <row r="68" s="131" customFormat="1" ht="11.5" customHeight="1">
      <c r="A68" s="762"/>
      <c r="B68" s="57"/>
      <c r="C68" s="57"/>
      <c r="D68" s="131"/>
      <c r="K68" s="53"/>
      <c r="L68" s="57"/>
      <c r="M68" s="57"/>
      <c r="N68" s="53"/>
      <c r="O68" s="53"/>
      <c r="P68" s="53"/>
      <c r="Q68" s="53"/>
      <c r="R68" s="57"/>
      <c r="S68" s="53"/>
      <c r="T68" s="53"/>
      <c r="U68" s="763"/>
      <c r="V68" s="53"/>
      <c r="W68" s="53"/>
      <c r="X68" s="53"/>
      <c r="Y68" s="53"/>
      <c r="Z68" s="53"/>
      <c r="AA68" s="56"/>
      <c r="AB68" s="54"/>
      <c r="AC68" s="54"/>
      <c r="AD68" s="54"/>
      <c r="AE68" s="54"/>
      <c r="AF68" s="131">
        <v>11</v>
      </c>
    </row>
    <row r="69" s="131" customFormat="1" ht="11.5" customHeight="1">
      <c r="A69" s="762"/>
      <c r="B69" s="57"/>
      <c r="C69" s="57"/>
      <c r="D69" s="131"/>
      <c r="K69" s="53"/>
      <c r="L69" s="57"/>
      <c r="M69" s="57"/>
      <c r="N69" s="53"/>
      <c r="O69" s="53"/>
      <c r="P69" s="53"/>
      <c r="Q69" s="53"/>
      <c r="R69" s="57"/>
      <c r="S69" s="53"/>
      <c r="T69" s="53"/>
      <c r="U69" s="763"/>
      <c r="V69" s="53"/>
      <c r="W69" s="53"/>
      <c r="X69" s="53"/>
      <c r="Y69" s="53"/>
      <c r="Z69" s="53"/>
      <c r="AA69" s="56"/>
      <c r="AB69" s="54"/>
      <c r="AC69" s="54"/>
      <c r="AD69" s="54"/>
      <c r="AE69" s="54"/>
      <c r="AF69" s="131">
        <v>11</v>
      </c>
    </row>
    <row r="70" s="131" customFormat="1" ht="11.5" customHeight="1">
      <c r="A70" s="762"/>
      <c r="B70" s="57"/>
      <c r="C70" s="57"/>
      <c r="D70" s="131"/>
      <c r="K70" s="53"/>
      <c r="L70" s="57"/>
      <c r="M70" s="57"/>
      <c r="N70" s="53"/>
      <c r="O70" s="53"/>
      <c r="P70" s="53"/>
      <c r="Q70" s="53"/>
      <c r="R70" s="57"/>
      <c r="S70" s="53"/>
      <c r="T70" s="53"/>
      <c r="U70" s="763"/>
      <c r="V70" s="53"/>
      <c r="W70" s="53"/>
      <c r="X70" s="53"/>
      <c r="Y70" s="53"/>
      <c r="Z70" s="53"/>
      <c r="AA70" s="56"/>
      <c r="AB70" s="54"/>
      <c r="AC70" s="54"/>
      <c r="AD70" s="54"/>
      <c r="AE70" s="54"/>
      <c r="AF70" s="131">
        <v>11</v>
      </c>
    </row>
    <row r="71" s="131" customFormat="1" ht="11.5" customHeight="1">
      <c r="A71" s="762"/>
      <c r="B71" s="57"/>
      <c r="C71" s="57"/>
      <c r="D71" s="131"/>
      <c r="K71" s="53"/>
      <c r="L71" s="57"/>
      <c r="M71" s="57"/>
      <c r="N71" s="53"/>
      <c r="O71" s="53"/>
      <c r="P71" s="53"/>
      <c r="Q71" s="53"/>
      <c r="R71" s="57"/>
      <c r="S71" s="53"/>
      <c r="T71" s="53"/>
      <c r="U71" s="763"/>
      <c r="V71" s="53"/>
      <c r="W71" s="53"/>
      <c r="X71" s="53"/>
      <c r="Y71" s="53"/>
      <c r="Z71" s="53"/>
      <c r="AA71" s="56"/>
      <c r="AB71" s="54"/>
      <c r="AC71" s="54"/>
      <c r="AD71" s="54"/>
      <c r="AE71" s="54"/>
      <c r="AF71" s="131">
        <v>11</v>
      </c>
    </row>
    <row r="72" s="131" customFormat="1" ht="11.5" customHeight="1">
      <c r="A72" s="762"/>
      <c r="B72" s="57"/>
      <c r="C72" s="57"/>
      <c r="D72" s="131"/>
      <c r="K72" s="53"/>
      <c r="L72" s="57"/>
      <c r="M72" s="57"/>
      <c r="N72" s="53"/>
      <c r="O72" s="53"/>
      <c r="P72" s="53"/>
      <c r="Q72" s="53"/>
      <c r="R72" s="57"/>
      <c r="S72" s="53"/>
      <c r="T72" s="53"/>
      <c r="U72" s="763"/>
      <c r="V72" s="53"/>
      <c r="W72" s="53"/>
      <c r="X72" s="53"/>
      <c r="Y72" s="53"/>
      <c r="Z72" s="53"/>
      <c r="AA72" s="56"/>
      <c r="AB72" s="54"/>
      <c r="AC72" s="54"/>
      <c r="AD72" s="54"/>
      <c r="AE72" s="54"/>
      <c r="AF72" s="131">
        <v>11</v>
      </c>
    </row>
    <row r="73" s="131" customFormat="1" ht="11.5" customHeight="1">
      <c r="A73" s="762"/>
      <c r="B73" s="57"/>
      <c r="C73" s="57"/>
      <c r="D73" s="131"/>
      <c r="K73" s="53"/>
      <c r="L73" s="57"/>
      <c r="M73" s="57"/>
      <c r="N73" s="53"/>
      <c r="O73" s="53"/>
      <c r="P73" s="53"/>
      <c r="Q73" s="53"/>
      <c r="R73" s="57"/>
      <c r="S73" s="53"/>
      <c r="T73" s="53"/>
      <c r="U73" s="763"/>
      <c r="V73" s="53"/>
      <c r="W73" s="53"/>
      <c r="X73" s="53"/>
      <c r="Y73" s="53"/>
      <c r="Z73" s="53"/>
      <c r="AA73" s="56"/>
      <c r="AB73" s="54"/>
      <c r="AC73" s="54"/>
      <c r="AD73" s="54"/>
      <c r="AE73" s="54"/>
      <c r="AF73" s="131">
        <v>11</v>
      </c>
    </row>
    <row r="74" s="131" customFormat="1" ht="11.5" customHeight="1">
      <c r="A74" s="762"/>
      <c r="B74" s="57"/>
      <c r="C74" s="57"/>
      <c r="D74" s="131"/>
      <c r="K74" s="53"/>
      <c r="L74" s="57"/>
      <c r="M74" s="57"/>
      <c r="N74" s="53"/>
      <c r="O74" s="53"/>
      <c r="P74" s="53"/>
      <c r="Q74" s="53"/>
      <c r="R74" s="57"/>
      <c r="S74" s="53"/>
      <c r="T74" s="53"/>
      <c r="U74" s="763"/>
      <c r="V74" s="53"/>
      <c r="W74" s="53"/>
      <c r="X74" s="53"/>
      <c r="Y74" s="53"/>
      <c r="Z74" s="53"/>
      <c r="AA74" s="56"/>
      <c r="AB74" s="54"/>
      <c r="AC74" s="54"/>
      <c r="AD74" s="54"/>
      <c r="AE74" s="54"/>
      <c r="AF74" s="131">
        <v>11</v>
      </c>
    </row>
    <row r="75" s="131" customFormat="1" ht="11.5" customHeight="1">
      <c r="A75" s="762"/>
      <c r="B75" s="57"/>
      <c r="C75" s="57"/>
      <c r="D75" s="131"/>
      <c r="K75" s="53"/>
      <c r="L75" s="57"/>
      <c r="M75" s="57"/>
      <c r="N75" s="53"/>
      <c r="O75" s="53"/>
      <c r="P75" s="53"/>
      <c r="Q75" s="53"/>
      <c r="R75" s="57"/>
      <c r="S75" s="53"/>
      <c r="T75" s="53"/>
      <c r="U75" s="763"/>
      <c r="V75" s="53"/>
      <c r="W75" s="53"/>
      <c r="X75" s="53"/>
      <c r="Y75" s="53"/>
      <c r="Z75" s="53"/>
      <c r="AA75" s="56"/>
      <c r="AB75" s="54"/>
      <c r="AC75" s="54"/>
      <c r="AD75" s="54"/>
      <c r="AE75" s="54"/>
      <c r="AF75" s="131">
        <v>11</v>
      </c>
    </row>
    <row r="76" s="131" customFormat="1" ht="11.5" customHeight="1">
      <c r="A76" s="762"/>
      <c r="B76" s="57"/>
      <c r="C76" s="57"/>
      <c r="D76" s="131"/>
      <c r="K76" s="53"/>
      <c r="L76" s="57"/>
      <c r="M76" s="57"/>
      <c r="N76" s="53"/>
      <c r="O76" s="53"/>
      <c r="P76" s="53"/>
      <c r="Q76" s="53"/>
      <c r="R76" s="57"/>
      <c r="S76" s="53"/>
      <c r="T76" s="53"/>
      <c r="U76" s="763"/>
      <c r="V76" s="53"/>
      <c r="W76" s="53"/>
      <c r="X76" s="53"/>
      <c r="Y76" s="53"/>
      <c r="Z76" s="53"/>
      <c r="AA76" s="56"/>
      <c r="AB76" s="54"/>
      <c r="AC76" s="54"/>
      <c r="AD76" s="54"/>
      <c r="AE76" s="54"/>
      <c r="AF76" s="131">
        <v>11</v>
      </c>
    </row>
    <row r="77" s="131" customFormat="1" ht="11.5" customHeight="1">
      <c r="A77" s="762"/>
      <c r="B77" s="57"/>
      <c r="C77" s="57"/>
      <c r="D77" s="131"/>
      <c r="K77" s="53"/>
      <c r="L77" s="57"/>
      <c r="M77" s="57"/>
      <c r="N77" s="53"/>
      <c r="O77" s="53"/>
      <c r="P77" s="53"/>
      <c r="Q77" s="53"/>
      <c r="R77" s="57"/>
      <c r="S77" s="53"/>
      <c r="T77" s="53"/>
      <c r="U77" s="763"/>
      <c r="V77" s="53"/>
      <c r="W77" s="53"/>
      <c r="X77" s="53"/>
      <c r="Y77" s="53"/>
      <c r="Z77" s="53"/>
      <c r="AA77" s="56"/>
      <c r="AB77" s="54"/>
      <c r="AC77" s="54"/>
      <c r="AD77" s="54"/>
      <c r="AE77" s="54"/>
      <c r="AF77" s="131">
        <v>11</v>
      </c>
    </row>
    <row r="78" s="131" customFormat="1" ht="11.5" customHeight="1">
      <c r="A78" s="762"/>
      <c r="B78" s="57"/>
      <c r="C78" s="57"/>
      <c r="D78" s="131"/>
      <c r="K78" s="53"/>
      <c r="L78" s="57"/>
      <c r="M78" s="57"/>
      <c r="N78" s="53"/>
      <c r="O78" s="53"/>
      <c r="P78" s="53"/>
      <c r="Q78" s="53"/>
      <c r="R78" s="57"/>
      <c r="S78" s="53"/>
      <c r="T78" s="53"/>
      <c r="U78" s="763"/>
      <c r="V78" s="53"/>
      <c r="W78" s="53"/>
      <c r="X78" s="53"/>
      <c r="Y78" s="53"/>
      <c r="Z78" s="53"/>
      <c r="AA78" s="56"/>
      <c r="AB78" s="54"/>
      <c r="AC78" s="54"/>
      <c r="AD78" s="54"/>
      <c r="AE78" s="54"/>
      <c r="AF78" s="131">
        <v>11</v>
      </c>
    </row>
    <row r="79" s="131" customFormat="1" ht="11.5" customHeight="1">
      <c r="A79" s="762"/>
      <c r="B79" s="57"/>
      <c r="C79" s="57"/>
      <c r="D79" s="131"/>
      <c r="K79" s="53"/>
      <c r="L79" s="57"/>
      <c r="M79" s="57"/>
      <c r="N79" s="53"/>
      <c r="O79" s="53"/>
      <c r="P79" s="53"/>
      <c r="Q79" s="53"/>
      <c r="R79" s="57"/>
      <c r="S79" s="53"/>
      <c r="T79" s="53"/>
      <c r="U79" s="763"/>
      <c r="V79" s="53"/>
      <c r="W79" s="53"/>
      <c r="X79" s="53"/>
      <c r="Y79" s="53"/>
      <c r="Z79" s="53"/>
      <c r="AA79" s="56"/>
      <c r="AB79" s="54"/>
      <c r="AC79" s="54"/>
      <c r="AD79" s="54"/>
      <c r="AE79" s="54"/>
      <c r="AF79" s="131">
        <v>11</v>
      </c>
    </row>
    <row r="80" s="131" customFormat="1" ht="11.5" customHeight="1">
      <c r="A80" s="762"/>
      <c r="B80" s="57"/>
      <c r="C80" s="57"/>
      <c r="D80" s="131"/>
      <c r="K80" s="53"/>
      <c r="L80" s="57"/>
      <c r="M80" s="57"/>
      <c r="N80" s="53"/>
      <c r="O80" s="53"/>
      <c r="P80" s="53"/>
      <c r="Q80" s="53"/>
      <c r="R80" s="57"/>
      <c r="S80" s="53"/>
      <c r="T80" s="53"/>
      <c r="U80" s="763"/>
      <c r="V80" s="53"/>
      <c r="W80" s="53"/>
      <c r="X80" s="53"/>
      <c r="Y80" s="53"/>
      <c r="Z80" s="53"/>
      <c r="AA80" s="56"/>
      <c r="AB80" s="54"/>
      <c r="AC80" s="54"/>
      <c r="AD80" s="54"/>
      <c r="AE80" s="54"/>
      <c r="AF80" s="131">
        <v>11</v>
      </c>
    </row>
    <row r="81" s="131" customFormat="1" ht="11.5" customHeight="1">
      <c r="A81" s="762"/>
      <c r="B81" s="57"/>
      <c r="C81" s="57"/>
      <c r="D81" s="131"/>
      <c r="K81" s="53"/>
      <c r="L81" s="57"/>
      <c r="M81" s="57"/>
      <c r="N81" s="53"/>
      <c r="O81" s="53"/>
      <c r="P81" s="53"/>
      <c r="Q81" s="53"/>
      <c r="R81" s="57"/>
      <c r="S81" s="53"/>
      <c r="T81" s="53"/>
      <c r="U81" s="763"/>
      <c r="V81" s="53"/>
      <c r="W81" s="53"/>
      <c r="X81" s="53"/>
      <c r="Y81" s="53"/>
      <c r="Z81" s="53"/>
      <c r="AA81" s="56"/>
      <c r="AB81" s="54"/>
      <c r="AC81" s="54"/>
      <c r="AD81" s="54"/>
      <c r="AE81" s="54"/>
      <c r="AF81" s="131">
        <v>11</v>
      </c>
    </row>
    <row r="82" s="131" customFormat="1" ht="11.5" customHeight="1">
      <c r="A82" s="762"/>
      <c r="B82" s="57"/>
      <c r="C82" s="57"/>
      <c r="D82" s="131"/>
      <c r="K82" s="53"/>
      <c r="L82" s="57"/>
      <c r="M82" s="57"/>
      <c r="N82" s="53"/>
      <c r="O82" s="53"/>
      <c r="P82" s="53"/>
      <c r="Q82" s="53"/>
      <c r="R82" s="57"/>
      <c r="S82" s="53"/>
      <c r="T82" s="53"/>
      <c r="U82" s="763"/>
      <c r="V82" s="53"/>
      <c r="W82" s="53"/>
      <c r="X82" s="53"/>
      <c r="Y82" s="53"/>
      <c r="Z82" s="53"/>
      <c r="AA82" s="56"/>
      <c r="AB82" s="54"/>
      <c r="AC82" s="54"/>
      <c r="AD82" s="54"/>
      <c r="AE82" s="54"/>
      <c r="AF82" s="131">
        <v>11</v>
      </c>
    </row>
    <row r="83" s="131" customFormat="1" ht="11.5" customHeight="1">
      <c r="A83" s="762"/>
      <c r="B83" s="57"/>
      <c r="C83" s="57"/>
      <c r="D83" s="131"/>
      <c r="K83" s="53"/>
      <c r="L83" s="57"/>
      <c r="M83" s="57"/>
      <c r="N83" s="53"/>
      <c r="O83" s="53"/>
      <c r="P83" s="53"/>
      <c r="Q83" s="53"/>
      <c r="R83" s="57"/>
      <c r="S83" s="53"/>
      <c r="T83" s="53"/>
      <c r="U83" s="763"/>
      <c r="V83" s="53"/>
      <c r="W83" s="53"/>
      <c r="X83" s="53"/>
      <c r="Y83" s="53"/>
      <c r="Z83" s="53"/>
      <c r="AA83" s="56"/>
      <c r="AB83" s="54"/>
      <c r="AC83" s="54"/>
      <c r="AD83" s="54"/>
      <c r="AE83" s="54"/>
      <c r="AF83" s="131">
        <v>11</v>
      </c>
    </row>
    <row r="84" s="131" customFormat="1" ht="11.5" customHeight="1">
      <c r="A84" s="762"/>
      <c r="B84" s="57"/>
      <c r="C84" s="57"/>
      <c r="D84" s="131"/>
      <c r="K84" s="53"/>
      <c r="L84" s="57"/>
      <c r="M84" s="57"/>
      <c r="N84" s="53"/>
      <c r="O84" s="53"/>
      <c r="P84" s="53"/>
      <c r="Q84" s="53"/>
      <c r="R84" s="57"/>
      <c r="S84" s="53"/>
      <c r="T84" s="53"/>
      <c r="U84" s="763"/>
      <c r="V84" s="53"/>
      <c r="W84" s="53"/>
      <c r="X84" s="53"/>
      <c r="Y84" s="53"/>
      <c r="Z84" s="53"/>
      <c r="AA84" s="56"/>
      <c r="AB84" s="54"/>
      <c r="AC84" s="54"/>
      <c r="AD84" s="54"/>
      <c r="AE84" s="54"/>
      <c r="AF84" s="131">
        <v>11</v>
      </c>
    </row>
    <row r="85" s="131" customFormat="1" ht="11.5" customHeight="1">
      <c r="A85" s="762"/>
      <c r="B85" s="57"/>
      <c r="C85" s="57"/>
      <c r="D85" s="131"/>
      <c r="K85" s="53"/>
      <c r="L85" s="57"/>
      <c r="M85" s="57"/>
      <c r="N85" s="53"/>
      <c r="O85" s="53"/>
      <c r="P85" s="53"/>
      <c r="Q85" s="53"/>
      <c r="R85" s="57"/>
      <c r="S85" s="53"/>
      <c r="T85" s="53"/>
      <c r="U85" s="763"/>
      <c r="V85" s="53"/>
      <c r="W85" s="53"/>
      <c r="X85" s="53"/>
      <c r="Y85" s="53"/>
      <c r="Z85" s="53"/>
      <c r="AA85" s="56"/>
      <c r="AB85" s="54"/>
      <c r="AC85" s="54"/>
      <c r="AD85" s="54"/>
      <c r="AE85" s="54"/>
      <c r="AF85" s="131">
        <v>11</v>
      </c>
    </row>
    <row r="86" s="131" customFormat="1" ht="11.5" customHeight="1">
      <c r="A86" s="762"/>
      <c r="B86" s="57"/>
      <c r="C86" s="57"/>
      <c r="D86" s="131"/>
      <c r="K86" s="53"/>
      <c r="L86" s="57"/>
      <c r="M86" s="57"/>
      <c r="N86" s="53"/>
      <c r="O86" s="53"/>
      <c r="P86" s="53"/>
      <c r="Q86" s="53"/>
      <c r="R86" s="57"/>
      <c r="S86" s="53"/>
      <c r="T86" s="53"/>
      <c r="U86" s="763"/>
      <c r="V86" s="53"/>
      <c r="W86" s="53"/>
      <c r="X86" s="53"/>
      <c r="Y86" s="53"/>
      <c r="Z86" s="53"/>
      <c r="AA86" s="56"/>
      <c r="AB86" s="54"/>
      <c r="AC86" s="54"/>
      <c r="AD86" s="54"/>
      <c r="AE86" s="54"/>
      <c r="AF86" s="131">
        <v>11</v>
      </c>
    </row>
    <row r="87" s="131" customFormat="1" ht="11.5" customHeight="1">
      <c r="A87" s="762"/>
      <c r="B87" s="57"/>
      <c r="C87" s="57"/>
      <c r="D87" s="131"/>
      <c r="K87" s="53"/>
      <c r="L87" s="57"/>
      <c r="M87" s="57"/>
      <c r="N87" s="53"/>
      <c r="O87" s="53"/>
      <c r="P87" s="53"/>
      <c r="Q87" s="53"/>
      <c r="R87" s="57"/>
      <c r="S87" s="53"/>
      <c r="T87" s="53"/>
      <c r="U87" s="763"/>
      <c r="V87" s="53"/>
      <c r="W87" s="53"/>
      <c r="X87" s="53"/>
      <c r="Y87" s="53"/>
      <c r="Z87" s="53"/>
      <c r="AA87" s="56"/>
      <c r="AB87" s="54"/>
      <c r="AC87" s="54"/>
      <c r="AD87" s="54"/>
      <c r="AE87" s="54"/>
      <c r="AF87" s="131">
        <v>11</v>
      </c>
    </row>
    <row r="88" s="131" customFormat="1" ht="11.5" customHeight="1">
      <c r="A88" s="762"/>
      <c r="B88" s="57"/>
      <c r="C88" s="57"/>
      <c r="D88" s="131"/>
      <c r="K88" s="53"/>
      <c r="L88" s="57"/>
      <c r="M88" s="57"/>
      <c r="N88" s="53"/>
      <c r="O88" s="53"/>
      <c r="P88" s="53"/>
      <c r="Q88" s="53"/>
      <c r="R88" s="57"/>
      <c r="S88" s="53"/>
      <c r="T88" s="53"/>
      <c r="U88" s="763"/>
      <c r="V88" s="53"/>
      <c r="W88" s="53"/>
      <c r="X88" s="53"/>
      <c r="Y88" s="53"/>
      <c r="Z88" s="53"/>
      <c r="AA88" s="56"/>
      <c r="AB88" s="54"/>
      <c r="AC88" s="54"/>
      <c r="AD88" s="54"/>
      <c r="AE88" s="54"/>
      <c r="AF88" s="131">
        <v>11</v>
      </c>
    </row>
    <row r="89" s="131" customFormat="1" ht="11.5" customHeight="1">
      <c r="A89" s="762"/>
      <c r="B89" s="57"/>
      <c r="C89" s="57"/>
      <c r="D89" s="131"/>
      <c r="K89" s="53"/>
      <c r="L89" s="57"/>
      <c r="M89" s="57"/>
      <c r="N89" s="53"/>
      <c r="O89" s="53"/>
      <c r="P89" s="53"/>
      <c r="Q89" s="53"/>
      <c r="R89" s="57"/>
      <c r="S89" s="53"/>
      <c r="T89" s="53"/>
      <c r="U89" s="763"/>
      <c r="V89" s="53"/>
      <c r="W89" s="53"/>
      <c r="X89" s="53"/>
      <c r="Y89" s="53"/>
      <c r="Z89" s="53"/>
      <c r="AA89" s="56"/>
      <c r="AB89" s="54"/>
      <c r="AC89" s="54"/>
      <c r="AD89" s="54"/>
      <c r="AE89" s="54"/>
      <c r="AF89" s="131">
        <v>11</v>
      </c>
    </row>
    <row r="90" s="131" customFormat="1" ht="11.5" customHeight="1">
      <c r="A90" s="762"/>
      <c r="B90" s="57"/>
      <c r="C90" s="57"/>
      <c r="D90" s="131"/>
      <c r="K90" s="53"/>
      <c r="L90" s="57"/>
      <c r="M90" s="57"/>
      <c r="N90" s="53"/>
      <c r="O90" s="53"/>
      <c r="P90" s="53"/>
      <c r="Q90" s="53"/>
      <c r="R90" s="57"/>
      <c r="S90" s="53"/>
      <c r="T90" s="53"/>
      <c r="U90" s="763"/>
      <c r="V90" s="53"/>
      <c r="W90" s="53"/>
      <c r="X90" s="53"/>
      <c r="Y90" s="53"/>
      <c r="Z90" s="53"/>
      <c r="AA90" s="56"/>
      <c r="AB90" s="54"/>
      <c r="AC90" s="54"/>
      <c r="AD90" s="54"/>
      <c r="AE90" s="54"/>
      <c r="AF90" s="131">
        <v>11</v>
      </c>
    </row>
    <row r="91" s="131" customFormat="1" ht="11.5" customHeight="1">
      <c r="A91" s="762"/>
      <c r="B91" s="57"/>
      <c r="C91" s="57"/>
      <c r="D91" s="131"/>
      <c r="K91" s="53"/>
      <c r="L91" s="57"/>
      <c r="M91" s="57"/>
      <c r="N91" s="53"/>
      <c r="O91" s="53"/>
      <c r="P91" s="53"/>
      <c r="Q91" s="53"/>
      <c r="R91" s="57"/>
      <c r="S91" s="53"/>
      <c r="T91" s="53"/>
      <c r="U91" s="763"/>
      <c r="V91" s="53"/>
      <c r="W91" s="53"/>
      <c r="X91" s="53"/>
      <c r="Y91" s="53"/>
      <c r="Z91" s="53"/>
      <c r="AA91" s="56"/>
      <c r="AB91" s="54"/>
      <c r="AC91" s="54"/>
      <c r="AD91" s="54"/>
      <c r="AE91" s="54"/>
      <c r="AF91" s="131">
        <v>11</v>
      </c>
    </row>
    <row r="92" s="131" customFormat="1" ht="11.5" customHeight="1">
      <c r="A92" s="762"/>
      <c r="B92" s="57"/>
      <c r="C92" s="57"/>
      <c r="D92" s="131"/>
      <c r="K92" s="53"/>
      <c r="L92" s="57"/>
      <c r="M92" s="57"/>
      <c r="N92" s="53"/>
      <c r="O92" s="53"/>
      <c r="P92" s="53"/>
      <c r="Q92" s="53"/>
      <c r="R92" s="57"/>
      <c r="S92" s="53"/>
      <c r="T92" s="53"/>
      <c r="U92" s="763"/>
      <c r="V92" s="53"/>
      <c r="W92" s="53"/>
      <c r="X92" s="53"/>
      <c r="Y92" s="53"/>
      <c r="Z92" s="53"/>
      <c r="AA92" s="56"/>
      <c r="AB92" s="54"/>
      <c r="AC92" s="54"/>
      <c r="AD92" s="54"/>
      <c r="AE92" s="54"/>
      <c r="AF92" s="131">
        <v>11</v>
      </c>
    </row>
    <row r="93" s="131" customFormat="1" ht="11.5" customHeight="1">
      <c r="A93" s="762"/>
      <c r="B93" s="57"/>
      <c r="C93" s="57"/>
      <c r="D93" s="131"/>
      <c r="K93" s="53"/>
      <c r="L93" s="57"/>
      <c r="M93" s="57"/>
      <c r="N93" s="53"/>
      <c r="O93" s="53"/>
      <c r="P93" s="53"/>
      <c r="Q93" s="53"/>
      <c r="R93" s="57"/>
      <c r="S93" s="53"/>
      <c r="T93" s="53"/>
      <c r="U93" s="763"/>
      <c r="V93" s="53"/>
      <c r="W93" s="53"/>
      <c r="X93" s="53"/>
      <c r="Y93" s="53"/>
      <c r="Z93" s="53"/>
      <c r="AA93" s="56"/>
      <c r="AB93" s="54"/>
      <c r="AC93" s="54"/>
      <c r="AD93" s="54"/>
      <c r="AE93" s="54"/>
      <c r="AF93" s="131">
        <v>11</v>
      </c>
    </row>
    <row r="94" s="131" customFormat="1" ht="11.5" customHeight="1">
      <c r="A94" s="762"/>
      <c r="B94" s="57"/>
      <c r="C94" s="57"/>
      <c r="D94" s="131"/>
      <c r="K94" s="53"/>
      <c r="L94" s="57"/>
      <c r="M94" s="57"/>
      <c r="N94" s="53"/>
      <c r="O94" s="53"/>
      <c r="P94" s="53"/>
      <c r="Q94" s="53"/>
      <c r="R94" s="57"/>
      <c r="S94" s="53"/>
      <c r="T94" s="53"/>
      <c r="U94" s="763"/>
      <c r="V94" s="53"/>
      <c r="W94" s="53"/>
      <c r="X94" s="53"/>
      <c r="Y94" s="53"/>
      <c r="Z94" s="53"/>
      <c r="AA94" s="56"/>
      <c r="AB94" s="54"/>
      <c r="AC94" s="54"/>
      <c r="AD94" s="54"/>
      <c r="AE94" s="54"/>
      <c r="AF94" s="131">
        <v>11</v>
      </c>
    </row>
    <row r="95" s="131" customFormat="1" ht="11.5" customHeight="1">
      <c r="A95" s="762"/>
      <c r="B95" s="57"/>
      <c r="C95" s="57"/>
      <c r="D95" s="131"/>
      <c r="K95" s="53"/>
      <c r="L95" s="57"/>
      <c r="M95" s="57"/>
      <c r="N95" s="53"/>
      <c r="O95" s="53"/>
      <c r="P95" s="53"/>
      <c r="Q95" s="53"/>
      <c r="R95" s="57"/>
      <c r="S95" s="53"/>
      <c r="T95" s="53"/>
      <c r="U95" s="763"/>
      <c r="V95" s="53"/>
      <c r="W95" s="53"/>
      <c r="X95" s="53"/>
      <c r="Y95" s="53"/>
      <c r="Z95" s="53"/>
      <c r="AA95" s="56"/>
      <c r="AB95" s="54"/>
      <c r="AC95" s="54"/>
      <c r="AD95" s="54"/>
      <c r="AE95" s="54"/>
      <c r="AF95" s="131">
        <v>11</v>
      </c>
    </row>
    <row r="96" s="131" customFormat="1" ht="11.5" customHeight="1">
      <c r="A96" s="762"/>
      <c r="B96" s="57"/>
      <c r="C96" s="57"/>
      <c r="D96" s="131"/>
      <c r="K96" s="53"/>
      <c r="L96" s="57"/>
      <c r="M96" s="57"/>
      <c r="N96" s="53"/>
      <c r="O96" s="53"/>
      <c r="P96" s="53"/>
      <c r="Q96" s="53"/>
      <c r="R96" s="57"/>
      <c r="S96" s="53"/>
      <c r="T96" s="53"/>
      <c r="U96" s="763"/>
      <c r="V96" s="53"/>
      <c r="W96" s="53"/>
      <c r="X96" s="53"/>
      <c r="Y96" s="53"/>
      <c r="Z96" s="53"/>
      <c r="AA96" s="56"/>
      <c r="AB96" s="54"/>
      <c r="AC96" s="54"/>
      <c r="AD96" s="54"/>
      <c r="AE96" s="54"/>
      <c r="AF96" s="131">
        <v>11</v>
      </c>
    </row>
    <row r="97" s="131" customFormat="1" ht="11.5" customHeight="1">
      <c r="A97" s="762"/>
      <c r="B97" s="57"/>
      <c r="C97" s="57"/>
      <c r="D97" s="131"/>
      <c r="K97" s="53"/>
      <c r="L97" s="57"/>
      <c r="M97" s="57"/>
      <c r="N97" s="53"/>
      <c r="O97" s="53"/>
      <c r="P97" s="53"/>
      <c r="Q97" s="53"/>
      <c r="R97" s="57"/>
      <c r="S97" s="53"/>
      <c r="T97" s="53"/>
      <c r="U97" s="763"/>
      <c r="V97" s="53"/>
      <c r="W97" s="53"/>
      <c r="X97" s="53"/>
      <c r="Y97" s="53"/>
      <c r="Z97" s="53"/>
      <c r="AA97" s="56"/>
      <c r="AB97" s="54"/>
      <c r="AC97" s="54"/>
      <c r="AD97" s="54"/>
      <c r="AE97" s="54"/>
      <c r="AF97" s="131">
        <v>11</v>
      </c>
    </row>
    <row r="98" s="131" customFormat="1" ht="11.5" customHeight="1">
      <c r="A98" s="762"/>
      <c r="B98" s="57"/>
      <c r="C98" s="57"/>
      <c r="D98" s="131"/>
      <c r="K98" s="53"/>
      <c r="L98" s="57"/>
      <c r="M98" s="57"/>
      <c r="N98" s="53"/>
      <c r="O98" s="53"/>
      <c r="P98" s="53"/>
      <c r="Q98" s="53"/>
      <c r="R98" s="57"/>
      <c r="S98" s="53"/>
      <c r="T98" s="53"/>
      <c r="U98" s="763"/>
      <c r="V98" s="53"/>
      <c r="W98" s="53"/>
      <c r="X98" s="53"/>
      <c r="Y98" s="53"/>
      <c r="Z98" s="53"/>
      <c r="AA98" s="56"/>
      <c r="AB98" s="54"/>
      <c r="AC98" s="54"/>
      <c r="AD98" s="54"/>
      <c r="AE98" s="54"/>
      <c r="AF98" s="131">
        <v>11</v>
      </c>
    </row>
    <row r="99" s="131" customFormat="1" ht="11.5" customHeight="1">
      <c r="A99" s="762"/>
      <c r="B99" s="57"/>
      <c r="C99" s="57"/>
      <c r="D99" s="131"/>
      <c r="K99" s="53"/>
      <c r="L99" s="57"/>
      <c r="M99" s="57"/>
      <c r="N99" s="53"/>
      <c r="O99" s="53"/>
      <c r="P99" s="53"/>
      <c r="Q99" s="53"/>
      <c r="R99" s="57"/>
      <c r="S99" s="53"/>
      <c r="T99" s="53"/>
      <c r="U99" s="763"/>
      <c r="V99" s="53"/>
      <c r="W99" s="53"/>
      <c r="X99" s="53"/>
      <c r="Y99" s="53"/>
      <c r="Z99" s="53"/>
      <c r="AA99" s="56"/>
      <c r="AB99" s="54"/>
      <c r="AC99" s="54"/>
      <c r="AD99" s="54"/>
      <c r="AE99" s="54"/>
      <c r="AF99" s="131">
        <v>11</v>
      </c>
    </row>
    <row r="100" s="131" customFormat="1" ht="11.5" customHeight="1">
      <c r="A100" s="762"/>
      <c r="B100" s="57"/>
      <c r="C100" s="57"/>
      <c r="D100" s="131"/>
      <c r="K100" s="53"/>
      <c r="L100" s="57"/>
      <c r="M100" s="57"/>
      <c r="N100" s="53"/>
      <c r="O100" s="53"/>
      <c r="P100" s="53"/>
      <c r="Q100" s="53"/>
      <c r="R100" s="57"/>
      <c r="S100" s="53"/>
      <c r="T100" s="53"/>
      <c r="U100" s="763"/>
      <c r="V100" s="53"/>
      <c r="W100" s="53"/>
      <c r="X100" s="53"/>
      <c r="Y100" s="53"/>
      <c r="Z100" s="53"/>
      <c r="AA100" s="56"/>
      <c r="AB100" s="54"/>
      <c r="AC100" s="54"/>
      <c r="AD100" s="54"/>
      <c r="AE100" s="54"/>
      <c r="AF100" s="131">
        <v>11</v>
      </c>
    </row>
    <row r="101" s="131" customFormat="1" ht="11.5" customHeight="1">
      <c r="A101" s="762"/>
      <c r="B101" s="57"/>
      <c r="C101" s="57"/>
      <c r="D101" s="131"/>
      <c r="K101" s="53"/>
      <c r="L101" s="57"/>
      <c r="M101" s="57"/>
      <c r="N101" s="53"/>
      <c r="O101" s="53"/>
      <c r="P101" s="53"/>
      <c r="Q101" s="53"/>
      <c r="R101" s="57"/>
      <c r="S101" s="53"/>
      <c r="T101" s="53"/>
      <c r="U101" s="763"/>
      <c r="V101" s="53"/>
      <c r="W101" s="53"/>
      <c r="X101" s="53"/>
      <c r="Y101" s="53"/>
      <c r="Z101" s="53"/>
      <c r="AA101" s="56"/>
      <c r="AB101" s="54"/>
      <c r="AC101" s="54"/>
      <c r="AD101" s="54"/>
      <c r="AE101" s="54"/>
      <c r="AF101" s="131">
        <v>11</v>
      </c>
    </row>
    <row r="102" s="131" customFormat="1" ht="11.5" customHeight="1">
      <c r="A102" s="762"/>
      <c r="B102" s="57"/>
      <c r="C102" s="57"/>
      <c r="D102" s="131"/>
      <c r="K102" s="53"/>
      <c r="L102" s="57"/>
      <c r="M102" s="57"/>
      <c r="N102" s="53"/>
      <c r="O102" s="53"/>
      <c r="P102" s="53"/>
      <c r="Q102" s="53"/>
      <c r="R102" s="57"/>
      <c r="S102" s="53"/>
      <c r="T102" s="53"/>
      <c r="U102" s="763"/>
      <c r="V102" s="53"/>
      <c r="W102" s="53"/>
      <c r="X102" s="53"/>
      <c r="Y102" s="53"/>
      <c r="Z102" s="53"/>
      <c r="AA102" s="56"/>
      <c r="AB102" s="54"/>
      <c r="AC102" s="54"/>
      <c r="AD102" s="54"/>
      <c r="AE102" s="54"/>
      <c r="AF102" s="131">
        <v>11</v>
      </c>
    </row>
    <row r="103" s="131" customFormat="1" ht="11.5" customHeight="1">
      <c r="A103" s="762"/>
      <c r="B103" s="57"/>
      <c r="C103" s="57"/>
      <c r="D103" s="131"/>
      <c r="K103" s="53"/>
      <c r="L103" s="57"/>
      <c r="M103" s="57"/>
      <c r="N103" s="53"/>
      <c r="O103" s="53"/>
      <c r="P103" s="53"/>
      <c r="Q103" s="53"/>
      <c r="R103" s="57"/>
      <c r="S103" s="53"/>
      <c r="T103" s="53"/>
      <c r="U103" s="763"/>
      <c r="V103" s="53"/>
      <c r="W103" s="53"/>
      <c r="X103" s="53"/>
      <c r="Y103" s="53"/>
      <c r="Z103" s="53"/>
      <c r="AA103" s="56"/>
      <c r="AB103" s="54"/>
      <c r="AC103" s="54"/>
      <c r="AD103" s="54"/>
      <c r="AE103" s="54"/>
      <c r="AF103" s="131">
        <v>11</v>
      </c>
    </row>
    <row r="104" s="131" customFormat="1" ht="11.5" customHeight="1">
      <c r="A104" s="762"/>
      <c r="B104" s="57"/>
      <c r="C104" s="57"/>
      <c r="D104" s="131"/>
      <c r="K104" s="53"/>
      <c r="L104" s="57"/>
      <c r="M104" s="57"/>
      <c r="N104" s="53"/>
      <c r="O104" s="53"/>
      <c r="P104" s="53"/>
      <c r="Q104" s="53"/>
      <c r="R104" s="57"/>
      <c r="S104" s="53"/>
      <c r="T104" s="53"/>
      <c r="U104" s="763"/>
      <c r="V104" s="53"/>
      <c r="W104" s="53"/>
      <c r="X104" s="53"/>
      <c r="Y104" s="53"/>
      <c r="Z104" s="53"/>
      <c r="AA104" s="56"/>
      <c r="AB104" s="54"/>
      <c r="AC104" s="54"/>
      <c r="AD104" s="54"/>
      <c r="AE104" s="54"/>
      <c r="AF104" s="131">
        <v>11</v>
      </c>
    </row>
    <row r="105" s="131" customFormat="1" ht="11.5" customHeight="1">
      <c r="A105" s="762"/>
      <c r="B105" s="57"/>
      <c r="C105" s="57"/>
      <c r="D105" s="131"/>
      <c r="K105" s="53"/>
      <c r="L105" s="57"/>
      <c r="M105" s="57"/>
      <c r="N105" s="53"/>
      <c r="O105" s="53"/>
      <c r="P105" s="53"/>
      <c r="Q105" s="53"/>
      <c r="R105" s="57"/>
      <c r="S105" s="53"/>
      <c r="T105" s="53"/>
      <c r="U105" s="763"/>
      <c r="V105" s="53"/>
      <c r="W105" s="53"/>
      <c r="X105" s="53"/>
      <c r="Y105" s="53"/>
      <c r="Z105" s="53"/>
      <c r="AA105" s="56"/>
      <c r="AB105" s="54"/>
      <c r="AC105" s="54"/>
      <c r="AD105" s="54"/>
      <c r="AE105" s="54"/>
      <c r="AF105" s="131">
        <v>11</v>
      </c>
    </row>
    <row r="106" s="131" customFormat="1" ht="11.5" customHeight="1">
      <c r="A106" s="762"/>
      <c r="B106" s="57"/>
      <c r="C106" s="57"/>
      <c r="D106" s="131"/>
      <c r="K106" s="53"/>
      <c r="L106" s="57"/>
      <c r="M106" s="57"/>
      <c r="N106" s="53"/>
      <c r="O106" s="53"/>
      <c r="P106" s="53"/>
      <c r="Q106" s="53"/>
      <c r="R106" s="57"/>
      <c r="S106" s="53"/>
      <c r="T106" s="53"/>
      <c r="U106" s="763"/>
      <c r="V106" s="53"/>
      <c r="W106" s="53"/>
      <c r="X106" s="53"/>
      <c r="Y106" s="53"/>
      <c r="Z106" s="53"/>
      <c r="AA106" s="56"/>
      <c r="AB106" s="54"/>
      <c r="AC106" s="54"/>
      <c r="AD106" s="54"/>
      <c r="AE106" s="54"/>
      <c r="AF106" s="131">
        <v>11</v>
      </c>
    </row>
    <row r="107" s="131" customFormat="1" ht="11.5" customHeight="1">
      <c r="A107" s="762"/>
      <c r="B107" s="57"/>
      <c r="C107" s="57"/>
      <c r="D107" s="131"/>
      <c r="K107" s="53"/>
      <c r="L107" s="57"/>
      <c r="M107" s="57"/>
      <c r="N107" s="53"/>
      <c r="O107" s="53"/>
      <c r="P107" s="53"/>
      <c r="Q107" s="53"/>
      <c r="R107" s="57"/>
      <c r="S107" s="53"/>
      <c r="T107" s="53"/>
      <c r="U107" s="763"/>
      <c r="V107" s="53"/>
      <c r="W107" s="53"/>
      <c r="X107" s="53"/>
      <c r="Y107" s="53"/>
      <c r="Z107" s="53"/>
      <c r="AA107" s="56"/>
      <c r="AB107" s="54"/>
      <c r="AC107" s="54"/>
      <c r="AD107" s="54"/>
      <c r="AE107" s="54"/>
      <c r="AF107" s="131">
        <v>11</v>
      </c>
    </row>
    <row r="108" s="131" customFormat="1" ht="11.5" customHeight="1">
      <c r="A108" s="762"/>
      <c r="B108" s="57"/>
      <c r="C108" s="57"/>
      <c r="D108" s="131"/>
      <c r="K108" s="53"/>
      <c r="L108" s="57"/>
      <c r="M108" s="57"/>
      <c r="N108" s="53"/>
      <c r="O108" s="53"/>
      <c r="P108" s="53"/>
      <c r="Q108" s="53"/>
      <c r="R108" s="57"/>
      <c r="S108" s="53"/>
      <c r="T108" s="53"/>
      <c r="U108" s="763"/>
      <c r="V108" s="53"/>
      <c r="W108" s="53"/>
      <c r="X108" s="53"/>
      <c r="Y108" s="53"/>
      <c r="Z108" s="53"/>
      <c r="AA108" s="56"/>
      <c r="AB108" s="54"/>
      <c r="AC108" s="54"/>
      <c r="AD108" s="54"/>
      <c r="AE108" s="54"/>
      <c r="AF108" s="131">
        <v>11</v>
      </c>
    </row>
    <row r="109" s="131" customFormat="1" ht="11.5" customHeight="1">
      <c r="A109" s="762"/>
      <c r="B109" s="57"/>
      <c r="C109" s="57"/>
      <c r="D109" s="131"/>
      <c r="K109" s="53"/>
      <c r="L109" s="57"/>
      <c r="M109" s="57"/>
      <c r="N109" s="53"/>
      <c r="O109" s="53"/>
      <c r="P109" s="53"/>
      <c r="Q109" s="53"/>
      <c r="R109" s="57"/>
      <c r="S109" s="53"/>
      <c r="T109" s="53"/>
      <c r="U109" s="763"/>
      <c r="V109" s="53"/>
      <c r="W109" s="53"/>
      <c r="X109" s="53"/>
      <c r="Y109" s="53"/>
      <c r="Z109" s="53"/>
      <c r="AA109" s="56"/>
      <c r="AB109" s="54"/>
      <c r="AC109" s="54"/>
      <c r="AD109" s="54"/>
      <c r="AE109" s="54"/>
      <c r="AF109" s="131">
        <v>11</v>
      </c>
    </row>
    <row r="110" s="131" customFormat="1" ht="11.5" customHeight="1">
      <c r="A110" s="762"/>
      <c r="B110" s="57"/>
      <c r="C110" s="57"/>
      <c r="D110" s="131"/>
      <c r="K110" s="53"/>
      <c r="L110" s="57"/>
      <c r="M110" s="57"/>
      <c r="N110" s="53"/>
      <c r="O110" s="53"/>
      <c r="P110" s="53"/>
      <c r="Q110" s="53"/>
      <c r="R110" s="57"/>
      <c r="S110" s="53"/>
      <c r="T110" s="53"/>
      <c r="U110" s="763"/>
      <c r="V110" s="53"/>
      <c r="W110" s="53"/>
      <c r="X110" s="53"/>
      <c r="Y110" s="53"/>
      <c r="Z110" s="53"/>
      <c r="AA110" s="56"/>
      <c r="AB110" s="54"/>
      <c r="AC110" s="54"/>
      <c r="AD110" s="54"/>
      <c r="AE110" s="54"/>
      <c r="AF110" s="131">
        <v>11</v>
      </c>
    </row>
    <row r="111" s="131" customFormat="1" ht="11.5" customHeight="1">
      <c r="A111" s="762"/>
      <c r="B111" s="57"/>
      <c r="C111" s="57"/>
      <c r="D111" s="131"/>
      <c r="K111" s="53"/>
      <c r="L111" s="57"/>
      <c r="M111" s="57"/>
      <c r="N111" s="53"/>
      <c r="O111" s="53"/>
      <c r="P111" s="53"/>
      <c r="Q111" s="53"/>
      <c r="R111" s="57"/>
      <c r="S111" s="53"/>
      <c r="T111" s="53"/>
      <c r="U111" s="763"/>
      <c r="V111" s="53"/>
      <c r="W111" s="53"/>
      <c r="X111" s="53"/>
      <c r="Y111" s="53"/>
      <c r="Z111" s="53"/>
      <c r="AA111" s="56"/>
      <c r="AB111" s="54"/>
      <c r="AC111" s="54"/>
      <c r="AD111" s="54"/>
      <c r="AE111" s="54"/>
      <c r="AF111" s="131">
        <v>11</v>
      </c>
    </row>
    <row r="112" s="131" customFormat="1" ht="11.5" customHeight="1">
      <c r="A112" s="762"/>
      <c r="B112" s="57"/>
      <c r="C112" s="57"/>
      <c r="D112" s="131"/>
      <c r="K112" s="53"/>
      <c r="L112" s="57"/>
      <c r="M112" s="57"/>
      <c r="N112" s="53"/>
      <c r="O112" s="53"/>
      <c r="P112" s="53"/>
      <c r="Q112" s="53"/>
      <c r="R112" s="57"/>
      <c r="S112" s="53"/>
      <c r="T112" s="53"/>
      <c r="U112" s="763"/>
      <c r="V112" s="53"/>
      <c r="W112" s="53"/>
      <c r="X112" s="53"/>
      <c r="Y112" s="53"/>
      <c r="Z112" s="53"/>
      <c r="AA112" s="56"/>
      <c r="AB112" s="54"/>
      <c r="AC112" s="54"/>
      <c r="AD112" s="54"/>
      <c r="AE112" s="54"/>
      <c r="AF112" s="131">
        <v>11</v>
      </c>
    </row>
    <row r="113" s="131" customFormat="1" ht="11.5" customHeight="1">
      <c r="A113" s="762"/>
      <c r="B113" s="57"/>
      <c r="C113" s="57"/>
      <c r="D113" s="131"/>
      <c r="K113" s="53"/>
      <c r="L113" s="57"/>
      <c r="M113" s="57"/>
      <c r="N113" s="53"/>
      <c r="O113" s="53"/>
      <c r="P113" s="53"/>
      <c r="Q113" s="53"/>
      <c r="R113" s="57"/>
      <c r="S113" s="53"/>
      <c r="T113" s="53"/>
      <c r="U113" s="763"/>
      <c r="V113" s="53"/>
      <c r="W113" s="53"/>
      <c r="X113" s="53"/>
      <c r="Y113" s="53"/>
      <c r="Z113" s="53"/>
      <c r="AA113" s="56"/>
      <c r="AB113" s="54"/>
      <c r="AC113" s="54"/>
      <c r="AD113" s="54"/>
      <c r="AE113" s="54"/>
      <c r="AF113" s="131">
        <v>11</v>
      </c>
    </row>
    <row r="114" s="131" customFormat="1" ht="11.5" customHeight="1">
      <c r="A114" s="762"/>
      <c r="B114" s="57"/>
      <c r="C114" s="57"/>
      <c r="D114" s="131"/>
      <c r="K114" s="53"/>
      <c r="L114" s="57"/>
      <c r="M114" s="57"/>
      <c r="N114" s="53"/>
      <c r="O114" s="53"/>
      <c r="P114" s="53"/>
      <c r="Q114" s="53"/>
      <c r="R114" s="57"/>
      <c r="S114" s="53"/>
      <c r="T114" s="53"/>
      <c r="U114" s="763"/>
      <c r="V114" s="53"/>
      <c r="W114" s="53"/>
      <c r="X114" s="53"/>
      <c r="Y114" s="53"/>
      <c r="Z114" s="53"/>
      <c r="AA114" s="56"/>
      <c r="AB114" s="54"/>
      <c r="AC114" s="54"/>
      <c r="AD114" s="54"/>
      <c r="AE114" s="54"/>
      <c r="AF114" s="131">
        <v>11</v>
      </c>
    </row>
    <row r="115" s="131" customFormat="1" ht="11.5" customHeight="1">
      <c r="A115" s="762"/>
      <c r="B115" s="57"/>
      <c r="C115" s="57"/>
      <c r="D115" s="131"/>
      <c r="K115" s="53"/>
      <c r="L115" s="57"/>
      <c r="M115" s="57"/>
      <c r="N115" s="53"/>
      <c r="O115" s="53"/>
      <c r="P115" s="53"/>
      <c r="Q115" s="53"/>
      <c r="R115" s="57"/>
      <c r="S115" s="53"/>
      <c r="T115" s="53"/>
      <c r="U115" s="763"/>
      <c r="V115" s="53"/>
      <c r="W115" s="53"/>
      <c r="X115" s="53"/>
      <c r="Y115" s="53"/>
      <c r="Z115" s="53"/>
      <c r="AA115" s="56"/>
      <c r="AB115" s="54"/>
      <c r="AC115" s="54"/>
      <c r="AD115" s="54"/>
      <c r="AE115" s="54"/>
      <c r="AF115" s="131">
        <v>11</v>
      </c>
    </row>
    <row r="116" s="131" customFormat="1" ht="11.5" customHeight="1">
      <c r="A116" s="762"/>
      <c r="B116" s="57"/>
      <c r="C116" s="57"/>
      <c r="D116" s="131"/>
      <c r="K116" s="53"/>
      <c r="L116" s="57"/>
      <c r="M116" s="57"/>
      <c r="N116" s="53"/>
      <c r="O116" s="53"/>
      <c r="P116" s="53"/>
      <c r="Q116" s="53"/>
      <c r="R116" s="57"/>
      <c r="S116" s="53"/>
      <c r="T116" s="53"/>
      <c r="U116" s="763"/>
      <c r="V116" s="53"/>
      <c r="W116" s="53"/>
      <c r="X116" s="53"/>
      <c r="Y116" s="53"/>
      <c r="Z116" s="53"/>
      <c r="AA116" s="56"/>
      <c r="AB116" s="54"/>
      <c r="AC116" s="54"/>
      <c r="AD116" s="54"/>
      <c r="AE116" s="54"/>
      <c r="AF116" s="131">
        <v>11</v>
      </c>
    </row>
    <row r="117" s="131" customFormat="1" ht="11.5" customHeight="1">
      <c r="A117" s="762"/>
      <c r="B117" s="57"/>
      <c r="C117" s="57"/>
      <c r="D117" s="131"/>
      <c r="K117" s="53"/>
      <c r="L117" s="57"/>
      <c r="M117" s="57"/>
      <c r="N117" s="53"/>
      <c r="O117" s="53"/>
      <c r="P117" s="53"/>
      <c r="Q117" s="53"/>
      <c r="R117" s="57"/>
      <c r="S117" s="53"/>
      <c r="T117" s="53"/>
      <c r="U117" s="763"/>
      <c r="V117" s="53"/>
      <c r="W117" s="53"/>
      <c r="X117" s="53"/>
      <c r="Y117" s="53"/>
      <c r="Z117" s="53"/>
      <c r="AA117" s="56"/>
      <c r="AB117" s="54"/>
      <c r="AC117" s="54"/>
      <c r="AD117" s="54"/>
      <c r="AE117" s="54"/>
      <c r="AF117" s="131">
        <v>11</v>
      </c>
    </row>
    <row r="118" s="131" customFormat="1" ht="11.5" customHeight="1">
      <c r="A118" s="762"/>
      <c r="B118" s="57"/>
      <c r="C118" s="57"/>
      <c r="D118" s="131"/>
      <c r="K118" s="53"/>
      <c r="L118" s="57"/>
      <c r="M118" s="57"/>
      <c r="N118" s="53"/>
      <c r="O118" s="53"/>
      <c r="P118" s="53"/>
      <c r="Q118" s="53"/>
      <c r="R118" s="57"/>
      <c r="S118" s="53"/>
      <c r="T118" s="53"/>
      <c r="U118" s="763"/>
      <c r="V118" s="53"/>
      <c r="W118" s="53"/>
      <c r="X118" s="53"/>
      <c r="Y118" s="53"/>
      <c r="Z118" s="53"/>
      <c r="AA118" s="56"/>
      <c r="AB118" s="54"/>
      <c r="AC118" s="54"/>
      <c r="AD118" s="54"/>
      <c r="AE118" s="54"/>
      <c r="AF118" s="131">
        <v>11</v>
      </c>
    </row>
    <row r="119" s="131" customFormat="1" ht="11.5" customHeight="1">
      <c r="A119" s="762"/>
      <c r="B119" s="57"/>
      <c r="C119" s="57"/>
      <c r="D119" s="131"/>
      <c r="K119" s="53"/>
      <c r="L119" s="57"/>
      <c r="M119" s="57"/>
      <c r="N119" s="53"/>
      <c r="O119" s="53"/>
      <c r="P119" s="53"/>
      <c r="Q119" s="53"/>
      <c r="R119" s="57"/>
      <c r="S119" s="53"/>
      <c r="T119" s="53"/>
      <c r="U119" s="763"/>
      <c r="V119" s="53"/>
      <c r="W119" s="53"/>
      <c r="X119" s="53"/>
      <c r="Y119" s="53"/>
      <c r="Z119" s="53"/>
      <c r="AA119" s="56"/>
      <c r="AB119" s="54"/>
      <c r="AC119" s="54"/>
      <c r="AD119" s="54"/>
      <c r="AE119" s="54"/>
      <c r="AF119" s="131">
        <v>11</v>
      </c>
    </row>
    <row r="120" s="131" customFormat="1" ht="11.5" customHeight="1">
      <c r="A120" s="762"/>
      <c r="B120" s="57"/>
      <c r="C120" s="57"/>
      <c r="D120" s="131"/>
      <c r="K120" s="53"/>
      <c r="L120" s="57"/>
      <c r="M120" s="57"/>
      <c r="N120" s="53"/>
      <c r="O120" s="53"/>
      <c r="P120" s="53"/>
      <c r="Q120" s="53"/>
      <c r="R120" s="57"/>
      <c r="S120" s="53"/>
      <c r="T120" s="53"/>
      <c r="U120" s="763"/>
      <c r="V120" s="53"/>
      <c r="W120" s="53"/>
      <c r="X120" s="53"/>
      <c r="Y120" s="53"/>
      <c r="Z120" s="53"/>
      <c r="AA120" s="56"/>
      <c r="AB120" s="54"/>
      <c r="AC120" s="54"/>
      <c r="AD120" s="54"/>
      <c r="AE120" s="54"/>
      <c r="AF120" s="131">
        <v>11</v>
      </c>
    </row>
    <row r="121" s="131" customFormat="1" ht="11.5" customHeight="1">
      <c r="A121" s="762"/>
      <c r="B121" s="57"/>
      <c r="C121" s="57"/>
      <c r="D121" s="131"/>
      <c r="K121" s="53"/>
      <c r="L121" s="57"/>
      <c r="M121" s="57"/>
      <c r="N121" s="53"/>
      <c r="O121" s="53"/>
      <c r="P121" s="53"/>
      <c r="Q121" s="53"/>
      <c r="R121" s="57"/>
      <c r="S121" s="53"/>
      <c r="T121" s="53"/>
      <c r="U121" s="763"/>
      <c r="V121" s="53"/>
      <c r="W121" s="53"/>
      <c r="X121" s="53"/>
      <c r="Y121" s="53"/>
      <c r="Z121" s="53"/>
      <c r="AA121" s="56"/>
      <c r="AB121" s="54"/>
      <c r="AC121" s="54"/>
      <c r="AD121" s="54"/>
      <c r="AE121" s="54"/>
      <c r="AF121" s="131">
        <v>11</v>
      </c>
    </row>
    <row r="122" s="131" customFormat="1" ht="11.5" customHeight="1">
      <c r="A122" s="762"/>
      <c r="B122" s="57"/>
      <c r="C122" s="57"/>
      <c r="D122" s="131"/>
      <c r="K122" s="53"/>
      <c r="L122" s="57"/>
      <c r="M122" s="57"/>
      <c r="N122" s="53"/>
      <c r="O122" s="53"/>
      <c r="P122" s="53"/>
      <c r="Q122" s="53"/>
      <c r="R122" s="57"/>
      <c r="S122" s="53"/>
      <c r="T122" s="53"/>
      <c r="U122" s="763"/>
      <c r="V122" s="53"/>
      <c r="W122" s="53"/>
      <c r="X122" s="53"/>
      <c r="Y122" s="53"/>
      <c r="Z122" s="53"/>
      <c r="AA122" s="56"/>
      <c r="AB122" s="54"/>
      <c r="AC122" s="54"/>
      <c r="AD122" s="54"/>
      <c r="AE122" s="54"/>
      <c r="AF122" s="131">
        <v>11</v>
      </c>
    </row>
    <row r="123" s="131" customFormat="1" ht="11.5" customHeight="1">
      <c r="A123" s="762"/>
      <c r="B123" s="57"/>
      <c r="C123" s="57"/>
      <c r="D123" s="131"/>
      <c r="K123" s="53"/>
      <c r="L123" s="57"/>
      <c r="M123" s="57"/>
      <c r="N123" s="53"/>
      <c r="O123" s="53"/>
      <c r="P123" s="53"/>
      <c r="Q123" s="53"/>
      <c r="R123" s="57"/>
      <c r="S123" s="53"/>
      <c r="T123" s="53"/>
      <c r="U123" s="763"/>
      <c r="V123" s="53"/>
      <c r="W123" s="53"/>
      <c r="X123" s="53"/>
      <c r="Y123" s="53"/>
      <c r="Z123" s="53"/>
      <c r="AA123" s="56"/>
      <c r="AB123" s="54"/>
      <c r="AC123" s="54"/>
      <c r="AD123" s="54"/>
      <c r="AE123" s="54"/>
      <c r="AF123" s="131">
        <v>11</v>
      </c>
    </row>
    <row r="124" s="131" customFormat="1" ht="11.5" customHeight="1">
      <c r="A124" s="762"/>
      <c r="B124" s="57"/>
      <c r="C124" s="57"/>
      <c r="D124" s="131"/>
      <c r="K124" s="53"/>
      <c r="L124" s="57"/>
      <c r="M124" s="57"/>
      <c r="N124" s="53"/>
      <c r="O124" s="53"/>
      <c r="P124" s="53"/>
      <c r="Q124" s="53"/>
      <c r="R124" s="57"/>
      <c r="S124" s="53"/>
      <c r="T124" s="53"/>
      <c r="U124" s="763"/>
      <c r="V124" s="53"/>
      <c r="W124" s="53"/>
      <c r="X124" s="53"/>
      <c r="Y124" s="53"/>
      <c r="Z124" s="53"/>
      <c r="AA124" s="56"/>
      <c r="AB124" s="54"/>
      <c r="AC124" s="54"/>
      <c r="AD124" s="54"/>
      <c r="AE124" s="54"/>
      <c r="AF124" s="131">
        <v>11</v>
      </c>
    </row>
    <row r="125" s="131" customFormat="1" ht="11.5" customHeight="1">
      <c r="A125" s="762"/>
      <c r="B125" s="57"/>
      <c r="C125" s="57"/>
      <c r="D125" s="131"/>
      <c r="K125" s="53"/>
      <c r="L125" s="57"/>
      <c r="M125" s="57"/>
      <c r="N125" s="53"/>
      <c r="O125" s="53"/>
      <c r="P125" s="53"/>
      <c r="Q125" s="53"/>
      <c r="R125" s="57"/>
      <c r="S125" s="53"/>
      <c r="T125" s="53"/>
      <c r="U125" s="763"/>
      <c r="V125" s="53"/>
      <c r="W125" s="53"/>
      <c r="X125" s="53"/>
      <c r="Y125" s="53"/>
      <c r="Z125" s="53"/>
      <c r="AA125" s="56"/>
      <c r="AB125" s="54"/>
      <c r="AC125" s="54"/>
      <c r="AD125" s="54"/>
      <c r="AE125" s="54"/>
      <c r="AF125" s="131">
        <v>11</v>
      </c>
    </row>
    <row r="126" s="131" customFormat="1" ht="11.5" customHeight="1">
      <c r="A126" s="762"/>
      <c r="B126" s="57"/>
      <c r="C126" s="57"/>
      <c r="D126" s="131"/>
      <c r="K126" s="53"/>
      <c r="L126" s="57"/>
      <c r="M126" s="57"/>
      <c r="N126" s="53"/>
      <c r="O126" s="53"/>
      <c r="P126" s="53"/>
      <c r="Q126" s="53"/>
      <c r="R126" s="57"/>
      <c r="S126" s="53"/>
      <c r="T126" s="53"/>
      <c r="U126" s="763"/>
      <c r="V126" s="53"/>
      <c r="W126" s="53"/>
      <c r="X126" s="53"/>
      <c r="Y126" s="53"/>
      <c r="Z126" s="53"/>
      <c r="AA126" s="56"/>
      <c r="AB126" s="54"/>
      <c r="AC126" s="54"/>
      <c r="AD126" s="54"/>
      <c r="AE126" s="54"/>
      <c r="AF126" s="131">
        <v>11</v>
      </c>
    </row>
    <row r="127" s="131" customFormat="1" ht="11.5" customHeight="1">
      <c r="A127" s="762"/>
      <c r="B127" s="57"/>
      <c r="C127" s="57"/>
      <c r="D127" s="131"/>
      <c r="K127" s="53"/>
      <c r="L127" s="57"/>
      <c r="M127" s="57"/>
      <c r="N127" s="53"/>
      <c r="O127" s="53"/>
      <c r="P127" s="53"/>
      <c r="Q127" s="53"/>
      <c r="R127" s="57"/>
      <c r="S127" s="53"/>
      <c r="T127" s="53"/>
      <c r="U127" s="763"/>
      <c r="V127" s="53"/>
      <c r="W127" s="53"/>
      <c r="X127" s="53"/>
      <c r="Y127" s="53"/>
      <c r="Z127" s="53"/>
      <c r="AA127" s="56"/>
      <c r="AB127" s="54"/>
      <c r="AC127" s="54"/>
      <c r="AD127" s="54"/>
      <c r="AE127" s="54"/>
      <c r="AF127" s="131">
        <v>11</v>
      </c>
    </row>
    <row r="128" s="131" customFormat="1" ht="11.5" customHeight="1">
      <c r="A128" s="762"/>
      <c r="B128" s="57"/>
      <c r="C128" s="57"/>
      <c r="D128" s="131"/>
      <c r="K128" s="53"/>
      <c r="L128" s="57"/>
      <c r="M128" s="57"/>
      <c r="N128" s="53"/>
      <c r="O128" s="53"/>
      <c r="P128" s="53"/>
      <c r="Q128" s="53"/>
      <c r="R128" s="57"/>
      <c r="S128" s="53"/>
      <c r="T128" s="53"/>
      <c r="U128" s="763"/>
      <c r="V128" s="53"/>
      <c r="W128" s="53"/>
      <c r="X128" s="53"/>
      <c r="Y128" s="53"/>
      <c r="Z128" s="53"/>
      <c r="AA128" s="56"/>
      <c r="AB128" s="54"/>
      <c r="AC128" s="54"/>
      <c r="AD128" s="54"/>
      <c r="AE128" s="54"/>
      <c r="AF128" s="131">
        <v>11</v>
      </c>
    </row>
    <row r="129" s="131" customFormat="1" ht="11.5" customHeight="1">
      <c r="A129" s="762"/>
      <c r="B129" s="57"/>
      <c r="C129" s="57"/>
      <c r="D129" s="131"/>
      <c r="K129" s="53"/>
      <c r="L129" s="57"/>
      <c r="M129" s="57"/>
      <c r="N129" s="53"/>
      <c r="O129" s="53"/>
      <c r="P129" s="53"/>
      <c r="Q129" s="53"/>
      <c r="R129" s="57"/>
      <c r="S129" s="53"/>
      <c r="T129" s="53"/>
      <c r="U129" s="763"/>
      <c r="V129" s="53"/>
      <c r="W129" s="53"/>
      <c r="X129" s="53"/>
      <c r="Y129" s="53"/>
      <c r="Z129" s="53"/>
      <c r="AA129" s="56"/>
      <c r="AB129" s="54"/>
      <c r="AC129" s="54"/>
      <c r="AD129" s="54"/>
      <c r="AE129" s="54"/>
      <c r="AF129" s="131">
        <v>11</v>
      </c>
    </row>
    <row r="130" s="131" customFormat="1" ht="11.5" customHeight="1">
      <c r="A130" s="762"/>
      <c r="B130" s="57"/>
      <c r="C130" s="57"/>
      <c r="D130" s="131"/>
      <c r="K130" s="53"/>
      <c r="L130" s="57"/>
      <c r="M130" s="57"/>
      <c r="N130" s="53"/>
      <c r="O130" s="53"/>
      <c r="P130" s="53"/>
      <c r="Q130" s="53"/>
      <c r="R130" s="57"/>
      <c r="S130" s="53"/>
      <c r="T130" s="53"/>
      <c r="U130" s="763"/>
      <c r="V130" s="53"/>
      <c r="W130" s="53"/>
      <c r="X130" s="53"/>
      <c r="Y130" s="53"/>
      <c r="Z130" s="53"/>
      <c r="AA130" s="56"/>
      <c r="AB130" s="54"/>
      <c r="AC130" s="54"/>
      <c r="AD130" s="54"/>
      <c r="AE130" s="54"/>
      <c r="AF130" s="131">
        <v>11</v>
      </c>
    </row>
    <row r="131" s="131" customFormat="1" ht="11.5" customHeight="1">
      <c r="A131" s="762"/>
      <c r="B131" s="57"/>
      <c r="C131" s="57"/>
      <c r="D131" s="131"/>
      <c r="K131" s="53"/>
      <c r="L131" s="57"/>
      <c r="M131" s="57"/>
      <c r="N131" s="53"/>
      <c r="O131" s="53"/>
      <c r="P131" s="53"/>
      <c r="Q131" s="53"/>
      <c r="R131" s="57"/>
      <c r="S131" s="53"/>
      <c r="T131" s="53"/>
      <c r="U131" s="763"/>
      <c r="V131" s="53"/>
      <c r="W131" s="53"/>
      <c r="X131" s="53"/>
      <c r="Y131" s="53"/>
      <c r="Z131" s="53"/>
      <c r="AA131" s="56"/>
      <c r="AB131" s="54"/>
      <c r="AC131" s="54"/>
      <c r="AD131" s="54"/>
      <c r="AE131" s="54"/>
      <c r="AF131" s="131">
        <v>11</v>
      </c>
    </row>
    <row r="132" s="131" customFormat="1" ht="11.5" customHeight="1">
      <c r="A132" s="762"/>
      <c r="B132" s="57"/>
      <c r="C132" s="57"/>
      <c r="D132" s="131"/>
      <c r="K132" s="53"/>
      <c r="L132" s="57"/>
      <c r="M132" s="57"/>
      <c r="N132" s="53"/>
      <c r="O132" s="53"/>
      <c r="P132" s="53"/>
      <c r="Q132" s="53"/>
      <c r="R132" s="57"/>
      <c r="S132" s="53"/>
      <c r="T132" s="53"/>
      <c r="U132" s="763"/>
      <c r="V132" s="53"/>
      <c r="W132" s="53"/>
      <c r="X132" s="53"/>
      <c r="Y132" s="53"/>
      <c r="Z132" s="53"/>
      <c r="AA132" s="56"/>
      <c r="AB132" s="54"/>
      <c r="AC132" s="54"/>
      <c r="AD132" s="54"/>
      <c r="AE132" s="54"/>
      <c r="AF132" s="131">
        <v>11</v>
      </c>
    </row>
    <row r="133" s="131" customFormat="1" ht="11.5" customHeight="1">
      <c r="A133" s="762"/>
      <c r="B133" s="57"/>
      <c r="C133" s="57"/>
      <c r="D133" s="131"/>
      <c r="K133" s="53"/>
      <c r="L133" s="57"/>
      <c r="M133" s="57"/>
      <c r="N133" s="53"/>
      <c r="O133" s="53"/>
      <c r="P133" s="53"/>
      <c r="Q133" s="53"/>
      <c r="R133" s="57"/>
      <c r="S133" s="53"/>
      <c r="T133" s="53"/>
      <c r="U133" s="763"/>
      <c r="V133" s="53"/>
      <c r="W133" s="53"/>
      <c r="X133" s="53"/>
      <c r="Y133" s="53"/>
      <c r="Z133" s="53"/>
      <c r="AA133" s="56"/>
      <c r="AB133" s="54"/>
      <c r="AC133" s="54"/>
      <c r="AD133" s="54"/>
      <c r="AE133" s="54"/>
      <c r="AF133" s="131">
        <v>11</v>
      </c>
    </row>
    <row r="134" s="131" customFormat="1" ht="11.5" customHeight="1">
      <c r="A134" s="762"/>
      <c r="B134" s="57"/>
      <c r="C134" s="57"/>
      <c r="D134" s="131"/>
      <c r="K134" s="53"/>
      <c r="L134" s="57"/>
      <c r="M134" s="57"/>
      <c r="N134" s="53"/>
      <c r="O134" s="53"/>
      <c r="P134" s="53"/>
      <c r="Q134" s="53"/>
      <c r="R134" s="57"/>
      <c r="S134" s="53"/>
      <c r="T134" s="53"/>
      <c r="U134" s="763"/>
      <c r="V134" s="53"/>
      <c r="W134" s="53"/>
      <c r="X134" s="53"/>
      <c r="Y134" s="53"/>
      <c r="Z134" s="53"/>
      <c r="AA134" s="56"/>
      <c r="AB134" s="54"/>
      <c r="AC134" s="54"/>
      <c r="AD134" s="54"/>
      <c r="AE134" s="54"/>
      <c r="AF134" s="131">
        <v>11</v>
      </c>
    </row>
    <row r="135" s="131" customFormat="1" ht="11.5" customHeight="1">
      <c r="A135" s="762"/>
      <c r="B135" s="57"/>
      <c r="C135" s="57"/>
      <c r="D135" s="131"/>
      <c r="K135" s="53"/>
      <c r="L135" s="57"/>
      <c r="M135" s="57"/>
      <c r="N135" s="53"/>
      <c r="O135" s="53"/>
      <c r="P135" s="53"/>
      <c r="Q135" s="53"/>
      <c r="R135" s="57"/>
      <c r="S135" s="53"/>
      <c r="T135" s="53"/>
      <c r="U135" s="763"/>
      <c r="V135" s="53"/>
      <c r="W135" s="53"/>
      <c r="X135" s="53"/>
      <c r="Y135" s="53"/>
      <c r="Z135" s="53"/>
      <c r="AA135" s="56"/>
      <c r="AB135" s="54"/>
      <c r="AC135" s="54"/>
      <c r="AD135" s="54"/>
      <c r="AE135" s="54"/>
      <c r="AF135" s="131">
        <v>11</v>
      </c>
    </row>
    <row r="136" s="131" customFormat="1" ht="11.5" customHeight="1">
      <c r="A136" s="762"/>
      <c r="B136" s="57"/>
      <c r="C136" s="57"/>
      <c r="D136" s="131"/>
      <c r="K136" s="53"/>
      <c r="L136" s="57"/>
      <c r="M136" s="57"/>
      <c r="N136" s="53"/>
      <c r="O136" s="53"/>
      <c r="P136" s="53"/>
      <c r="Q136" s="53"/>
      <c r="R136" s="57"/>
      <c r="S136" s="53"/>
      <c r="T136" s="53"/>
      <c r="U136" s="763"/>
      <c r="V136" s="53"/>
      <c r="W136" s="53"/>
      <c r="X136" s="53"/>
      <c r="Y136" s="53"/>
      <c r="Z136" s="53"/>
      <c r="AA136" s="56"/>
      <c r="AB136" s="54"/>
      <c r="AC136" s="54"/>
      <c r="AD136" s="54"/>
      <c r="AE136" s="54"/>
      <c r="AF136" s="131">
        <v>11</v>
      </c>
    </row>
    <row r="137" s="131" customFormat="1" ht="11.5" customHeight="1">
      <c r="A137" s="762"/>
      <c r="B137" s="57"/>
      <c r="C137" s="57"/>
      <c r="D137" s="131"/>
      <c r="K137" s="53"/>
      <c r="L137" s="57"/>
      <c r="M137" s="57"/>
      <c r="N137" s="53"/>
      <c r="O137" s="53"/>
      <c r="P137" s="53"/>
      <c r="Q137" s="53"/>
      <c r="R137" s="57"/>
      <c r="S137" s="53"/>
      <c r="T137" s="53"/>
      <c r="U137" s="763"/>
      <c r="V137" s="53"/>
      <c r="W137" s="53"/>
      <c r="X137" s="53"/>
      <c r="Y137" s="53"/>
      <c r="Z137" s="53"/>
      <c r="AA137" s="56"/>
      <c r="AB137" s="54"/>
      <c r="AC137" s="54"/>
      <c r="AD137" s="54"/>
      <c r="AE137" s="54"/>
      <c r="AF137" s="131">
        <v>11</v>
      </c>
    </row>
    <row r="138" s="131" customFormat="1" ht="11.5" customHeight="1">
      <c r="A138" s="762"/>
      <c r="B138" s="57"/>
      <c r="C138" s="57"/>
      <c r="D138" s="131"/>
      <c r="K138" s="53"/>
      <c r="L138" s="57"/>
      <c r="M138" s="57"/>
      <c r="N138" s="53"/>
      <c r="O138" s="53"/>
      <c r="P138" s="53"/>
      <c r="Q138" s="53"/>
      <c r="R138" s="57"/>
      <c r="S138" s="53"/>
      <c r="T138" s="53"/>
      <c r="U138" s="763"/>
      <c r="V138" s="53"/>
      <c r="W138" s="53"/>
      <c r="X138" s="53"/>
      <c r="Y138" s="53"/>
      <c r="Z138" s="53"/>
      <c r="AA138" s="56"/>
      <c r="AB138" s="54"/>
      <c r="AC138" s="54"/>
      <c r="AD138" s="54"/>
      <c r="AE138" s="54"/>
      <c r="AF138" s="131">
        <v>11</v>
      </c>
    </row>
    <row r="139" s="131" customFormat="1" ht="11.5" customHeight="1">
      <c r="A139" s="762"/>
      <c r="B139" s="57"/>
      <c r="C139" s="57"/>
      <c r="D139" s="131"/>
      <c r="K139" s="53"/>
      <c r="L139" s="57"/>
      <c r="M139" s="57"/>
      <c r="N139" s="53"/>
      <c r="O139" s="53"/>
      <c r="P139" s="53"/>
      <c r="Q139" s="53"/>
      <c r="R139" s="57"/>
      <c r="S139" s="53"/>
      <c r="T139" s="53"/>
      <c r="U139" s="763"/>
      <c r="V139" s="53"/>
      <c r="W139" s="53"/>
      <c r="X139" s="53"/>
      <c r="Y139" s="53"/>
      <c r="Z139" s="53"/>
      <c r="AA139" s="56"/>
      <c r="AB139" s="54"/>
      <c r="AC139" s="54"/>
      <c r="AD139" s="54"/>
      <c r="AE139" s="54"/>
      <c r="AF139" s="131">
        <v>11</v>
      </c>
    </row>
    <row r="140" s="131" customFormat="1" ht="11.5" customHeight="1">
      <c r="A140" s="762"/>
      <c r="B140" s="57"/>
      <c r="C140" s="57"/>
      <c r="D140" s="131"/>
      <c r="K140" s="53"/>
      <c r="L140" s="57"/>
      <c r="M140" s="57"/>
      <c r="N140" s="53"/>
      <c r="O140" s="53"/>
      <c r="P140" s="53"/>
      <c r="Q140" s="53"/>
      <c r="R140" s="57"/>
      <c r="S140" s="53"/>
      <c r="T140" s="53"/>
      <c r="U140" s="763"/>
      <c r="V140" s="53"/>
      <c r="W140" s="53"/>
      <c r="X140" s="53"/>
      <c r="Y140" s="53"/>
      <c r="Z140" s="53"/>
      <c r="AA140" s="56"/>
      <c r="AB140" s="54"/>
      <c r="AC140" s="54"/>
      <c r="AD140" s="54"/>
      <c r="AE140" s="54"/>
      <c r="AF140" s="131">
        <v>11</v>
      </c>
    </row>
    <row r="141" s="131" customFormat="1" ht="11.5" customHeight="1">
      <c r="A141" s="762"/>
      <c r="B141" s="57"/>
      <c r="C141" s="57"/>
      <c r="D141" s="131"/>
      <c r="K141" s="53"/>
      <c r="L141" s="57"/>
      <c r="M141" s="57"/>
      <c r="N141" s="53"/>
      <c r="O141" s="53"/>
      <c r="P141" s="53"/>
      <c r="Q141" s="53"/>
      <c r="R141" s="57"/>
      <c r="S141" s="53"/>
      <c r="T141" s="53"/>
      <c r="U141" s="763"/>
      <c r="V141" s="53"/>
      <c r="W141" s="53"/>
      <c r="X141" s="53"/>
      <c r="Y141" s="53"/>
      <c r="Z141" s="53"/>
      <c r="AA141" s="56"/>
      <c r="AB141" s="54"/>
      <c r="AC141" s="54"/>
      <c r="AD141" s="54"/>
      <c r="AE141" s="54"/>
      <c r="AF141" s="131">
        <v>11</v>
      </c>
    </row>
    <row r="142" s="131" customFormat="1" ht="11.5" customHeight="1">
      <c r="A142" s="762"/>
      <c r="B142" s="57"/>
      <c r="C142" s="57"/>
      <c r="D142" s="131"/>
      <c r="K142" s="53"/>
      <c r="L142" s="57"/>
      <c r="M142" s="57"/>
      <c r="N142" s="53"/>
      <c r="O142" s="53"/>
      <c r="P142" s="53"/>
      <c r="Q142" s="53"/>
      <c r="R142" s="57"/>
      <c r="S142" s="53"/>
      <c r="T142" s="53"/>
      <c r="U142" s="763"/>
      <c r="V142" s="53"/>
      <c r="W142" s="53"/>
      <c r="X142" s="53"/>
      <c r="Y142" s="53"/>
      <c r="Z142" s="53"/>
      <c r="AA142" s="56"/>
      <c r="AB142" s="54"/>
      <c r="AC142" s="54"/>
      <c r="AD142" s="54"/>
      <c r="AE142" s="54"/>
      <c r="AF142" s="131">
        <v>11</v>
      </c>
    </row>
    <row r="143" s="131" customFormat="1" ht="11.5" customHeight="1">
      <c r="A143" s="762"/>
      <c r="B143" s="57"/>
      <c r="C143" s="57"/>
      <c r="D143" s="131"/>
      <c r="K143" s="53"/>
      <c r="L143" s="57"/>
      <c r="M143" s="57"/>
      <c r="N143" s="53"/>
      <c r="O143" s="53"/>
      <c r="P143" s="53"/>
      <c r="Q143" s="53"/>
      <c r="R143" s="57"/>
      <c r="S143" s="53"/>
      <c r="T143" s="53"/>
      <c r="U143" s="763"/>
      <c r="V143" s="53"/>
      <c r="W143" s="53"/>
      <c r="X143" s="53"/>
      <c r="Y143" s="53"/>
      <c r="Z143" s="53"/>
      <c r="AA143" s="56"/>
      <c r="AB143" s="54"/>
      <c r="AC143" s="54"/>
      <c r="AD143" s="54"/>
      <c r="AE143" s="54"/>
      <c r="AF143" s="131">
        <v>11</v>
      </c>
    </row>
    <row r="144" s="131" customFormat="1" ht="11.5" customHeight="1">
      <c r="A144" s="762"/>
      <c r="B144" s="57"/>
      <c r="C144" s="57"/>
      <c r="D144" s="131"/>
      <c r="K144" s="53"/>
      <c r="L144" s="57"/>
      <c r="M144" s="57"/>
      <c r="N144" s="53"/>
      <c r="O144" s="53"/>
      <c r="P144" s="53"/>
      <c r="Q144" s="53"/>
      <c r="R144" s="57"/>
      <c r="S144" s="53"/>
      <c r="T144" s="53"/>
      <c r="U144" s="763"/>
      <c r="V144" s="53"/>
      <c r="W144" s="53"/>
      <c r="X144" s="53"/>
      <c r="Y144" s="53"/>
      <c r="Z144" s="53"/>
      <c r="AA144" s="56"/>
      <c r="AB144" s="54"/>
      <c r="AC144" s="54"/>
      <c r="AD144" s="54"/>
      <c r="AE144" s="54"/>
      <c r="AF144" s="131">
        <v>11</v>
      </c>
    </row>
    <row r="145" s="131" customFormat="1" ht="11.5" customHeight="1">
      <c r="A145" s="762"/>
      <c r="B145" s="57"/>
      <c r="C145" s="57"/>
      <c r="D145" s="131"/>
      <c r="K145" s="53"/>
      <c r="L145" s="57"/>
      <c r="M145" s="57"/>
      <c r="N145" s="53"/>
      <c r="O145" s="53"/>
      <c r="P145" s="53"/>
      <c r="Q145" s="53"/>
      <c r="R145" s="57"/>
      <c r="S145" s="53"/>
      <c r="T145" s="53"/>
      <c r="U145" s="763"/>
      <c r="V145" s="53"/>
      <c r="W145" s="53"/>
      <c r="X145" s="53"/>
      <c r="Y145" s="53"/>
      <c r="Z145" s="53"/>
      <c r="AA145" s="56"/>
      <c r="AB145" s="54"/>
      <c r="AC145" s="54"/>
      <c r="AD145" s="54"/>
      <c r="AE145" s="54"/>
      <c r="AF145" s="131">
        <v>11</v>
      </c>
    </row>
    <row r="146" s="131" customFormat="1" ht="11.5" customHeight="1">
      <c r="A146" s="762"/>
      <c r="B146" s="57"/>
      <c r="C146" s="57"/>
      <c r="D146" s="131"/>
      <c r="K146" s="53"/>
      <c r="L146" s="57"/>
      <c r="M146" s="57"/>
      <c r="N146" s="53"/>
      <c r="O146" s="53"/>
      <c r="P146" s="53"/>
      <c r="Q146" s="53"/>
      <c r="R146" s="57"/>
      <c r="S146" s="53"/>
      <c r="T146" s="53"/>
      <c r="U146" s="763"/>
      <c r="V146" s="53"/>
      <c r="W146" s="53"/>
      <c r="X146" s="53"/>
      <c r="Y146" s="53"/>
      <c r="Z146" s="53"/>
      <c r="AA146" s="56"/>
      <c r="AB146" s="54"/>
      <c r="AC146" s="54"/>
      <c r="AD146" s="54"/>
      <c r="AE146" s="54"/>
      <c r="AF146" s="131">
        <v>11</v>
      </c>
    </row>
    <row r="147" s="131" customFormat="1" ht="11.5" customHeight="1">
      <c r="A147" s="762"/>
      <c r="B147" s="57"/>
      <c r="C147" s="57"/>
      <c r="D147" s="131"/>
      <c r="K147" s="53"/>
      <c r="L147" s="57"/>
      <c r="M147" s="57"/>
      <c r="N147" s="53"/>
      <c r="O147" s="53"/>
      <c r="P147" s="53"/>
      <c r="Q147" s="53"/>
      <c r="R147" s="57"/>
      <c r="S147" s="53"/>
      <c r="T147" s="53"/>
      <c r="U147" s="763"/>
      <c r="V147" s="53"/>
      <c r="W147" s="53"/>
      <c r="X147" s="53"/>
      <c r="Y147" s="53"/>
      <c r="Z147" s="53"/>
      <c r="AA147" s="56"/>
      <c r="AB147" s="54"/>
      <c r="AC147" s="54"/>
      <c r="AD147" s="54"/>
      <c r="AE147" s="54"/>
      <c r="AF147" s="131">
        <v>11</v>
      </c>
    </row>
    <row r="148" s="131" customFormat="1" ht="11.5" customHeight="1">
      <c r="A148" s="762"/>
      <c r="B148" s="57"/>
      <c r="C148" s="57"/>
      <c r="D148" s="131"/>
      <c r="K148" s="53"/>
      <c r="L148" s="57"/>
      <c r="M148" s="57"/>
      <c r="N148" s="53"/>
      <c r="O148" s="53"/>
      <c r="P148" s="53"/>
      <c r="Q148" s="53"/>
      <c r="R148" s="57"/>
      <c r="S148" s="53"/>
      <c r="T148" s="53"/>
      <c r="U148" s="763"/>
      <c r="V148" s="53"/>
      <c r="W148" s="53"/>
      <c r="X148" s="53"/>
      <c r="Y148" s="53"/>
      <c r="Z148" s="53"/>
      <c r="AA148" s="56"/>
      <c r="AB148" s="54"/>
      <c r="AC148" s="54"/>
      <c r="AD148" s="54"/>
      <c r="AE148" s="54"/>
      <c r="AF148" s="131">
        <v>11</v>
      </c>
    </row>
    <row r="149" s="131" customFormat="1" ht="11.5" customHeight="1">
      <c r="A149" s="762"/>
      <c r="B149" s="57"/>
      <c r="C149" s="57"/>
      <c r="D149" s="131"/>
      <c r="K149" s="53"/>
      <c r="L149" s="57"/>
      <c r="M149" s="57"/>
      <c r="N149" s="53"/>
      <c r="O149" s="53"/>
      <c r="P149" s="53"/>
      <c r="Q149" s="53"/>
      <c r="R149" s="57"/>
      <c r="S149" s="53"/>
      <c r="T149" s="53"/>
      <c r="U149" s="763"/>
      <c r="V149" s="53"/>
      <c r="W149" s="53"/>
      <c r="X149" s="53"/>
      <c r="Y149" s="53"/>
      <c r="Z149" s="53"/>
      <c r="AA149" s="56"/>
      <c r="AB149" s="54"/>
      <c r="AC149" s="54"/>
      <c r="AD149" s="54"/>
      <c r="AE149" s="54"/>
      <c r="AF149" s="131">
        <v>11</v>
      </c>
    </row>
    <row r="150" s="131" customFormat="1" ht="11.5" customHeight="1">
      <c r="A150" s="762"/>
      <c r="B150" s="57"/>
      <c r="C150" s="57"/>
      <c r="D150" s="131"/>
      <c r="K150" s="53"/>
      <c r="L150" s="57"/>
      <c r="M150" s="57"/>
      <c r="N150" s="53"/>
      <c r="O150" s="53"/>
      <c r="P150" s="53"/>
      <c r="Q150" s="53"/>
      <c r="R150" s="57"/>
      <c r="S150" s="53"/>
      <c r="T150" s="53"/>
      <c r="U150" s="763"/>
      <c r="V150" s="53"/>
      <c r="W150" s="53"/>
      <c r="X150" s="53"/>
      <c r="Y150" s="53"/>
      <c r="Z150" s="53"/>
      <c r="AA150" s="56"/>
      <c r="AB150" s="54"/>
      <c r="AC150" s="54"/>
      <c r="AD150" s="54"/>
      <c r="AE150" s="54"/>
      <c r="AF150" s="131">
        <v>11</v>
      </c>
    </row>
    <row r="151" s="131" customFormat="1" ht="11.5" customHeight="1">
      <c r="A151" s="762"/>
      <c r="B151" s="57"/>
      <c r="C151" s="57"/>
      <c r="D151" s="131"/>
      <c r="K151" s="53"/>
      <c r="L151" s="57"/>
      <c r="M151" s="57"/>
      <c r="N151" s="53"/>
      <c r="O151" s="53"/>
      <c r="P151" s="53"/>
      <c r="Q151" s="53"/>
      <c r="R151" s="57"/>
      <c r="S151" s="53"/>
      <c r="T151" s="53"/>
      <c r="U151" s="763"/>
      <c r="V151" s="53"/>
      <c r="W151" s="53"/>
      <c r="X151" s="53"/>
      <c r="Y151" s="53"/>
      <c r="Z151" s="53"/>
      <c r="AA151" s="56"/>
      <c r="AB151" s="54"/>
      <c r="AC151" s="54"/>
      <c r="AD151" s="54"/>
      <c r="AE151" s="54"/>
      <c r="AF151" s="131">
        <v>11</v>
      </c>
    </row>
    <row r="152" s="131" customFormat="1" ht="11.5" customHeight="1">
      <c r="A152" s="762"/>
      <c r="B152" s="57"/>
      <c r="C152" s="57"/>
      <c r="D152" s="131"/>
      <c r="K152" s="53"/>
      <c r="L152" s="57"/>
      <c r="M152" s="57"/>
      <c r="N152" s="53"/>
      <c r="O152" s="53"/>
      <c r="P152" s="53"/>
      <c r="Q152" s="53"/>
      <c r="R152" s="57"/>
      <c r="S152" s="53"/>
      <c r="T152" s="53"/>
      <c r="U152" s="763"/>
      <c r="V152" s="53"/>
      <c r="W152" s="53"/>
      <c r="X152" s="53"/>
      <c r="Y152" s="53"/>
      <c r="Z152" s="53"/>
      <c r="AA152" s="56"/>
      <c r="AB152" s="54"/>
      <c r="AC152" s="54"/>
      <c r="AD152" s="54"/>
      <c r="AE152" s="54"/>
      <c r="AF152" s="131">
        <v>11</v>
      </c>
    </row>
    <row r="153" s="131" customFormat="1" ht="11.5" customHeight="1">
      <c r="A153" s="762"/>
      <c r="B153" s="57"/>
      <c r="C153" s="57"/>
      <c r="D153" s="131"/>
      <c r="K153" s="53"/>
      <c r="L153" s="57"/>
      <c r="M153" s="57"/>
      <c r="N153" s="53"/>
      <c r="O153" s="53"/>
      <c r="P153" s="53"/>
      <c r="Q153" s="53"/>
      <c r="R153" s="57"/>
      <c r="S153" s="53"/>
      <c r="T153" s="53"/>
      <c r="U153" s="763"/>
      <c r="V153" s="53"/>
      <c r="W153" s="53"/>
      <c r="X153" s="53"/>
      <c r="Y153" s="53"/>
      <c r="Z153" s="53"/>
      <c r="AA153" s="56"/>
      <c r="AB153" s="54"/>
      <c r="AC153" s="54"/>
      <c r="AD153" s="54"/>
      <c r="AE153" s="54"/>
      <c r="AF153" s="131">
        <v>11</v>
      </c>
    </row>
    <row r="154" s="131" customFormat="1" ht="11.5" customHeight="1">
      <c r="A154" s="762"/>
      <c r="B154" s="57"/>
      <c r="C154" s="57"/>
      <c r="D154" s="131"/>
      <c r="K154" s="53"/>
      <c r="L154" s="57"/>
      <c r="M154" s="57"/>
      <c r="N154" s="53"/>
      <c r="O154" s="53"/>
      <c r="P154" s="53"/>
      <c r="Q154" s="53"/>
      <c r="R154" s="57"/>
      <c r="S154" s="53"/>
      <c r="T154" s="53"/>
      <c r="U154" s="763"/>
      <c r="V154" s="53"/>
      <c r="W154" s="53"/>
      <c r="X154" s="53"/>
      <c r="Y154" s="53"/>
      <c r="Z154" s="53"/>
      <c r="AA154" s="56"/>
      <c r="AB154" s="54"/>
      <c r="AC154" s="54"/>
      <c r="AD154" s="54"/>
      <c r="AE154" s="54"/>
      <c r="AF154" s="131">
        <v>11</v>
      </c>
    </row>
    <row r="155" s="131" customFormat="1" ht="11.5" customHeight="1">
      <c r="A155" s="762"/>
      <c r="B155" s="57"/>
      <c r="C155" s="57"/>
      <c r="D155" s="131"/>
      <c r="K155" s="53"/>
      <c r="L155" s="57"/>
      <c r="M155" s="57"/>
      <c r="N155" s="53"/>
      <c r="O155" s="53"/>
      <c r="P155" s="53"/>
      <c r="Q155" s="53"/>
      <c r="R155" s="57"/>
      <c r="S155" s="53"/>
      <c r="T155" s="53"/>
      <c r="U155" s="763"/>
      <c r="V155" s="53"/>
      <c r="W155" s="53"/>
      <c r="X155" s="53"/>
      <c r="Y155" s="53"/>
      <c r="Z155" s="53"/>
      <c r="AA155" s="56"/>
      <c r="AB155" s="54"/>
      <c r="AC155" s="54"/>
      <c r="AD155" s="54"/>
      <c r="AE155" s="54"/>
      <c r="AF155" s="131">
        <v>11</v>
      </c>
    </row>
    <row r="156" s="131" customFormat="1" ht="11.5" customHeight="1">
      <c r="A156" s="762"/>
      <c r="B156" s="57"/>
      <c r="C156" s="57"/>
      <c r="D156" s="131"/>
      <c r="K156" s="53"/>
      <c r="L156" s="57"/>
      <c r="M156" s="57"/>
      <c r="N156" s="53"/>
      <c r="O156" s="53"/>
      <c r="P156" s="53"/>
      <c r="Q156" s="53"/>
      <c r="R156" s="57"/>
      <c r="S156" s="53"/>
      <c r="T156" s="53"/>
      <c r="U156" s="763"/>
      <c r="V156" s="53"/>
      <c r="W156" s="53"/>
      <c r="X156" s="53"/>
      <c r="Y156" s="53"/>
      <c r="Z156" s="53"/>
      <c r="AA156" s="56"/>
      <c r="AB156" s="54"/>
      <c r="AC156" s="54"/>
      <c r="AD156" s="54"/>
      <c r="AE156" s="54"/>
      <c r="AF156" s="131">
        <v>11</v>
      </c>
    </row>
    <row r="157" s="131" customFormat="1" ht="11.5" customHeight="1">
      <c r="A157" s="762"/>
      <c r="B157" s="57"/>
      <c r="C157" s="57"/>
      <c r="D157" s="131"/>
      <c r="K157" s="53"/>
      <c r="L157" s="57"/>
      <c r="M157" s="57"/>
      <c r="N157" s="53"/>
      <c r="O157" s="53"/>
      <c r="P157" s="53"/>
      <c r="Q157" s="53"/>
      <c r="R157" s="57"/>
      <c r="S157" s="53"/>
      <c r="T157" s="53"/>
      <c r="U157" s="763"/>
      <c r="V157" s="53"/>
      <c r="W157" s="53"/>
      <c r="X157" s="53"/>
      <c r="Y157" s="53"/>
      <c r="Z157" s="53"/>
      <c r="AA157" s="56"/>
      <c r="AB157" s="54"/>
      <c r="AC157" s="54"/>
      <c r="AD157" s="54"/>
      <c r="AE157" s="54"/>
      <c r="AF157" s="131">
        <v>11</v>
      </c>
    </row>
    <row r="158" s="131" customFormat="1" ht="11.5" customHeight="1">
      <c r="A158" s="762"/>
      <c r="B158" s="57"/>
      <c r="C158" s="57"/>
      <c r="D158" s="131"/>
      <c r="K158" s="53"/>
      <c r="L158" s="57"/>
      <c r="M158" s="57"/>
      <c r="N158" s="53"/>
      <c r="O158" s="53"/>
      <c r="P158" s="53"/>
      <c r="Q158" s="53"/>
      <c r="R158" s="57"/>
      <c r="S158" s="53"/>
      <c r="T158" s="53"/>
      <c r="U158" s="763"/>
      <c r="V158" s="53"/>
      <c r="W158" s="53"/>
      <c r="X158" s="53"/>
      <c r="Y158" s="53"/>
      <c r="Z158" s="53"/>
      <c r="AA158" s="56"/>
      <c r="AB158" s="54"/>
      <c r="AC158" s="54"/>
      <c r="AD158" s="54"/>
      <c r="AE158" s="54"/>
      <c r="AF158" s="131">
        <v>11</v>
      </c>
    </row>
    <row r="159" s="131" customFormat="1" ht="11.5" customHeight="1">
      <c r="A159" s="762"/>
      <c r="B159" s="57"/>
      <c r="C159" s="57"/>
      <c r="D159" s="131"/>
      <c r="K159" s="53"/>
      <c r="L159" s="57"/>
      <c r="M159" s="57"/>
      <c r="N159" s="53"/>
      <c r="O159" s="53"/>
      <c r="P159" s="53"/>
      <c r="Q159" s="53"/>
      <c r="R159" s="57"/>
      <c r="S159" s="53"/>
      <c r="T159" s="53"/>
      <c r="U159" s="763"/>
      <c r="V159" s="53"/>
      <c r="W159" s="53"/>
      <c r="X159" s="53"/>
      <c r="Y159" s="53"/>
      <c r="Z159" s="53"/>
      <c r="AA159" s="56"/>
      <c r="AB159" s="54"/>
      <c r="AC159" s="54"/>
      <c r="AD159" s="54"/>
      <c r="AE159" s="54"/>
      <c r="AF159" s="131">
        <v>11</v>
      </c>
    </row>
    <row r="160" s="131" customFormat="1" ht="11.5" customHeight="1">
      <c r="A160" s="762"/>
      <c r="B160" s="57"/>
      <c r="C160" s="57"/>
      <c r="D160" s="131"/>
      <c r="K160" s="53"/>
      <c r="L160" s="57"/>
      <c r="M160" s="57"/>
      <c r="N160" s="53"/>
      <c r="O160" s="53"/>
      <c r="P160" s="53"/>
      <c r="Q160" s="53"/>
      <c r="R160" s="57"/>
      <c r="S160" s="53"/>
      <c r="T160" s="53"/>
      <c r="U160" s="763"/>
      <c r="V160" s="53"/>
      <c r="W160" s="53"/>
      <c r="X160" s="53"/>
      <c r="Y160" s="53"/>
      <c r="Z160" s="53"/>
      <c r="AA160" s="56"/>
      <c r="AB160" s="54"/>
      <c r="AC160" s="54"/>
      <c r="AD160" s="54"/>
      <c r="AE160" s="54"/>
      <c r="AF160" s="131">
        <v>11</v>
      </c>
    </row>
    <row r="161" s="131" customFormat="1" ht="11.5" customHeight="1">
      <c r="A161" s="762"/>
      <c r="B161" s="57"/>
      <c r="C161" s="57"/>
      <c r="D161" s="131"/>
      <c r="K161" s="53"/>
      <c r="L161" s="57"/>
      <c r="M161" s="57"/>
      <c r="N161" s="53"/>
      <c r="O161" s="53"/>
      <c r="P161" s="53"/>
      <c r="Q161" s="53"/>
      <c r="R161" s="57"/>
      <c r="S161" s="53"/>
      <c r="T161" s="53"/>
      <c r="U161" s="763"/>
      <c r="V161" s="53"/>
      <c r="W161" s="53"/>
      <c r="X161" s="53"/>
      <c r="Y161" s="53"/>
      <c r="Z161" s="53"/>
      <c r="AA161" s="56"/>
      <c r="AB161" s="54"/>
      <c r="AC161" s="54"/>
      <c r="AD161" s="54"/>
      <c r="AE161" s="54"/>
      <c r="AF161" s="131">
        <v>11</v>
      </c>
    </row>
    <row r="162" s="131" customFormat="1" ht="11.5" customHeight="1">
      <c r="A162" s="762"/>
      <c r="B162" s="57"/>
      <c r="C162" s="57"/>
      <c r="D162" s="131"/>
      <c r="K162" s="53"/>
      <c r="L162" s="57"/>
      <c r="M162" s="57"/>
      <c r="N162" s="53"/>
      <c r="O162" s="53"/>
      <c r="P162" s="53"/>
      <c r="Q162" s="53"/>
      <c r="R162" s="57"/>
      <c r="S162" s="53"/>
      <c r="T162" s="53"/>
      <c r="U162" s="763"/>
      <c r="V162" s="53"/>
      <c r="W162" s="53"/>
      <c r="X162" s="53"/>
      <c r="Y162" s="53"/>
      <c r="Z162" s="53"/>
      <c r="AA162" s="56"/>
      <c r="AB162" s="54"/>
      <c r="AC162" s="54"/>
      <c r="AD162" s="54"/>
      <c r="AE162" s="54"/>
      <c r="AF162" s="131">
        <v>11</v>
      </c>
    </row>
    <row r="163" s="131" customFormat="1" ht="11.5" customHeight="1">
      <c r="A163" s="762"/>
      <c r="B163" s="57"/>
      <c r="C163" s="57"/>
      <c r="D163" s="131"/>
      <c r="K163" s="53"/>
      <c r="L163" s="57"/>
      <c r="M163" s="57"/>
      <c r="N163" s="53"/>
      <c r="O163" s="53"/>
      <c r="P163" s="53"/>
      <c r="Q163" s="53"/>
      <c r="R163" s="57"/>
      <c r="S163" s="53"/>
      <c r="T163" s="53"/>
      <c r="U163" s="763"/>
      <c r="V163" s="53"/>
      <c r="W163" s="53"/>
      <c r="X163" s="53"/>
      <c r="Y163" s="53"/>
      <c r="Z163" s="53"/>
      <c r="AA163" s="56"/>
      <c r="AB163" s="54"/>
      <c r="AC163" s="54"/>
      <c r="AD163" s="54"/>
      <c r="AE163" s="54"/>
      <c r="AF163" s="131">
        <v>11</v>
      </c>
    </row>
    <row r="164" s="131" customFormat="1" ht="11.5" customHeight="1">
      <c r="A164" s="762"/>
      <c r="B164" s="57"/>
      <c r="C164" s="57"/>
      <c r="D164" s="131"/>
      <c r="K164" s="53"/>
      <c r="L164" s="57"/>
      <c r="M164" s="57"/>
      <c r="N164" s="53"/>
      <c r="O164" s="53"/>
      <c r="P164" s="53"/>
      <c r="Q164" s="53"/>
      <c r="R164" s="57"/>
      <c r="S164" s="53"/>
      <c r="T164" s="53"/>
      <c r="U164" s="763"/>
      <c r="V164" s="53"/>
      <c r="W164" s="53"/>
      <c r="X164" s="53"/>
      <c r="Y164" s="53"/>
      <c r="Z164" s="53"/>
      <c r="AA164" s="56"/>
      <c r="AB164" s="54"/>
      <c r="AC164" s="54"/>
      <c r="AD164" s="54"/>
      <c r="AE164" s="54"/>
      <c r="AF164" s="131">
        <v>11</v>
      </c>
    </row>
    <row r="165" s="131" customFormat="1" ht="11.5" customHeight="1">
      <c r="A165" s="762"/>
      <c r="B165" s="57"/>
      <c r="C165" s="57"/>
      <c r="D165" s="131"/>
      <c r="K165" s="53"/>
      <c r="L165" s="57"/>
      <c r="M165" s="57"/>
      <c r="N165" s="53"/>
      <c r="O165" s="53"/>
      <c r="P165" s="53"/>
      <c r="Q165" s="53"/>
      <c r="R165" s="57"/>
      <c r="S165" s="53"/>
      <c r="T165" s="53"/>
      <c r="U165" s="763"/>
      <c r="V165" s="53"/>
      <c r="W165" s="53"/>
      <c r="X165" s="53"/>
      <c r="Y165" s="53"/>
      <c r="Z165" s="53"/>
      <c r="AA165" s="56"/>
      <c r="AB165" s="54"/>
      <c r="AC165" s="54"/>
      <c r="AD165" s="54"/>
      <c r="AE165" s="54"/>
      <c r="AF165" s="131">
        <v>11</v>
      </c>
    </row>
    <row r="166" s="131" customFormat="1" ht="11.5" customHeight="1">
      <c r="A166" s="762"/>
      <c r="B166" s="57"/>
      <c r="C166" s="57"/>
      <c r="D166" s="131"/>
      <c r="K166" s="53"/>
      <c r="L166" s="57"/>
      <c r="M166" s="57"/>
      <c r="N166" s="53"/>
      <c r="O166" s="53"/>
      <c r="P166" s="53"/>
      <c r="Q166" s="53"/>
      <c r="R166" s="57"/>
      <c r="S166" s="53"/>
      <c r="T166" s="53"/>
      <c r="U166" s="763"/>
      <c r="V166" s="53"/>
      <c r="W166" s="53"/>
      <c r="X166" s="53"/>
      <c r="Y166" s="53"/>
      <c r="Z166" s="53"/>
      <c r="AA166" s="56"/>
      <c r="AB166" s="54"/>
      <c r="AC166" s="54"/>
      <c r="AD166" s="54"/>
      <c r="AE166" s="54"/>
      <c r="AF166" s="131">
        <v>11</v>
      </c>
    </row>
    <row r="167" s="131" customFormat="1" ht="11.5" customHeight="1">
      <c r="A167" s="762"/>
      <c r="B167" s="57"/>
      <c r="C167" s="57"/>
      <c r="D167" s="131"/>
      <c r="K167" s="53"/>
      <c r="L167" s="57"/>
      <c r="M167" s="57"/>
      <c r="N167" s="53"/>
      <c r="O167" s="53"/>
      <c r="P167" s="53"/>
      <c r="Q167" s="53"/>
      <c r="R167" s="57"/>
      <c r="S167" s="53"/>
      <c r="T167" s="53"/>
      <c r="U167" s="763"/>
      <c r="V167" s="53"/>
      <c r="W167" s="53"/>
      <c r="X167" s="53"/>
      <c r="Y167" s="53"/>
      <c r="Z167" s="53"/>
      <c r="AA167" s="56"/>
      <c r="AB167" s="54"/>
      <c r="AC167" s="54"/>
      <c r="AD167" s="54"/>
      <c r="AE167" s="54"/>
      <c r="AF167" s="131">
        <v>11</v>
      </c>
    </row>
    <row r="168" s="131" customFormat="1" ht="11.5" customHeight="1">
      <c r="A168" s="762"/>
      <c r="B168" s="57"/>
      <c r="C168" s="57"/>
      <c r="D168" s="131"/>
      <c r="K168" s="53"/>
      <c r="L168" s="57"/>
      <c r="M168" s="57"/>
      <c r="N168" s="53"/>
      <c r="O168" s="53"/>
      <c r="P168" s="53"/>
      <c r="Q168" s="53"/>
      <c r="R168" s="57"/>
      <c r="S168" s="53"/>
      <c r="T168" s="53"/>
      <c r="U168" s="763"/>
      <c r="V168" s="53"/>
      <c r="W168" s="53"/>
      <c r="X168" s="53"/>
      <c r="Y168" s="53"/>
      <c r="Z168" s="53"/>
      <c r="AA168" s="56"/>
      <c r="AB168" s="54"/>
      <c r="AC168" s="54"/>
      <c r="AD168" s="54"/>
      <c r="AE168" s="54"/>
      <c r="AF168" s="131">
        <v>11</v>
      </c>
    </row>
    <row r="169" s="131" customFormat="1" ht="11.5" customHeight="1">
      <c r="A169" s="762"/>
      <c r="B169" s="57"/>
      <c r="C169" s="57"/>
      <c r="D169" s="131"/>
      <c r="K169" s="53"/>
      <c r="L169" s="57"/>
      <c r="M169" s="57"/>
      <c r="N169" s="53"/>
      <c r="O169" s="53"/>
      <c r="P169" s="53"/>
      <c r="Q169" s="53"/>
      <c r="R169" s="57"/>
      <c r="S169" s="53"/>
      <c r="T169" s="53"/>
      <c r="U169" s="763"/>
      <c r="V169" s="53"/>
      <c r="W169" s="53"/>
      <c r="X169" s="53"/>
      <c r="Y169" s="53"/>
      <c r="Z169" s="53"/>
      <c r="AA169" s="56"/>
      <c r="AB169" s="54"/>
      <c r="AC169" s="54"/>
      <c r="AD169" s="54"/>
      <c r="AE169" s="54"/>
      <c r="AF169" s="131">
        <v>11</v>
      </c>
    </row>
    <row r="170" s="131" customFormat="1" ht="11.5" customHeight="1">
      <c r="A170" s="762"/>
      <c r="B170" s="57"/>
      <c r="C170" s="57"/>
      <c r="D170" s="131"/>
      <c r="K170" s="53"/>
      <c r="L170" s="57"/>
      <c r="M170" s="57"/>
      <c r="N170" s="53"/>
      <c r="O170" s="53"/>
      <c r="P170" s="53"/>
      <c r="Q170" s="53"/>
      <c r="R170" s="57"/>
      <c r="S170" s="53"/>
      <c r="T170" s="53"/>
      <c r="U170" s="763"/>
      <c r="V170" s="53"/>
      <c r="W170" s="53"/>
      <c r="X170" s="53"/>
      <c r="Y170" s="53"/>
      <c r="Z170" s="53"/>
      <c r="AA170" s="56"/>
      <c r="AB170" s="54"/>
      <c r="AC170" s="54"/>
      <c r="AD170" s="54"/>
      <c r="AE170" s="54"/>
      <c r="AF170" s="131">
        <v>11</v>
      </c>
    </row>
    <row r="171" s="131" customFormat="1" ht="11.5" customHeight="1">
      <c r="A171" s="762"/>
      <c r="B171" s="57"/>
      <c r="C171" s="57"/>
      <c r="D171" s="131"/>
      <c r="K171" s="53"/>
      <c r="L171" s="57"/>
      <c r="M171" s="57"/>
      <c r="N171" s="53"/>
      <c r="O171" s="53"/>
      <c r="P171" s="53"/>
      <c r="Q171" s="53"/>
      <c r="R171" s="57"/>
      <c r="S171" s="53"/>
      <c r="T171" s="53"/>
      <c r="U171" s="763"/>
      <c r="V171" s="53"/>
      <c r="W171" s="53"/>
      <c r="X171" s="53"/>
      <c r="Y171" s="53"/>
      <c r="Z171" s="53"/>
      <c r="AA171" s="56"/>
      <c r="AB171" s="54"/>
      <c r="AC171" s="54"/>
      <c r="AD171" s="54"/>
      <c r="AE171" s="54"/>
      <c r="AF171" s="131">
        <v>11</v>
      </c>
    </row>
    <row r="172" s="131" customFormat="1" ht="11.5" customHeight="1">
      <c r="A172" s="762"/>
      <c r="B172" s="57"/>
      <c r="C172" s="57"/>
      <c r="D172" s="131"/>
      <c r="K172" s="53"/>
      <c r="L172" s="57"/>
      <c r="M172" s="57"/>
      <c r="N172" s="53"/>
      <c r="O172" s="53"/>
      <c r="P172" s="53"/>
      <c r="Q172" s="53"/>
      <c r="R172" s="57"/>
      <c r="S172" s="53"/>
      <c r="T172" s="53"/>
      <c r="U172" s="763"/>
      <c r="V172" s="53"/>
      <c r="W172" s="53"/>
      <c r="X172" s="53"/>
      <c r="Y172" s="53"/>
      <c r="Z172" s="53"/>
      <c r="AA172" s="56"/>
      <c r="AB172" s="54"/>
      <c r="AC172" s="54"/>
      <c r="AD172" s="54"/>
      <c r="AE172" s="54"/>
      <c r="AF172" s="131">
        <v>11</v>
      </c>
    </row>
    <row r="173" s="131" customFormat="1" ht="11.5" customHeight="1">
      <c r="A173" s="762"/>
      <c r="B173" s="57"/>
      <c r="C173" s="57"/>
      <c r="D173" s="131"/>
      <c r="K173" s="53"/>
      <c r="L173" s="57"/>
      <c r="M173" s="57"/>
      <c r="N173" s="53"/>
      <c r="O173" s="53"/>
      <c r="P173" s="53"/>
      <c r="Q173" s="53"/>
      <c r="R173" s="57"/>
      <c r="S173" s="53"/>
      <c r="T173" s="53"/>
      <c r="U173" s="763"/>
      <c r="V173" s="53"/>
      <c r="W173" s="53"/>
      <c r="X173" s="53"/>
      <c r="Y173" s="53"/>
      <c r="Z173" s="53"/>
      <c r="AA173" s="56"/>
      <c r="AB173" s="54"/>
      <c r="AC173" s="54"/>
      <c r="AD173" s="54"/>
      <c r="AE173" s="54"/>
      <c r="AF173" s="131">
        <v>11</v>
      </c>
    </row>
    <row r="174" s="131" customFormat="1" ht="11.5" customHeight="1">
      <c r="A174" s="762"/>
      <c r="B174" s="57"/>
      <c r="C174" s="57"/>
      <c r="D174" s="131"/>
      <c r="K174" s="53"/>
      <c r="L174" s="57"/>
      <c r="M174" s="57"/>
      <c r="N174" s="53"/>
      <c r="O174" s="53"/>
      <c r="P174" s="53"/>
      <c r="Q174" s="53"/>
      <c r="R174" s="57"/>
      <c r="S174" s="53"/>
      <c r="T174" s="53"/>
      <c r="U174" s="763"/>
      <c r="V174" s="53"/>
      <c r="W174" s="53"/>
      <c r="X174" s="53"/>
      <c r="Y174" s="53"/>
      <c r="Z174" s="53"/>
      <c r="AA174" s="56"/>
      <c r="AB174" s="54"/>
      <c r="AC174" s="54"/>
      <c r="AD174" s="54"/>
      <c r="AE174" s="54"/>
      <c r="AF174" s="131">
        <v>11</v>
      </c>
    </row>
    <row r="175" s="131" customFormat="1" ht="11.5" customHeight="1">
      <c r="A175" s="762"/>
      <c r="B175" s="57"/>
      <c r="C175" s="57"/>
      <c r="D175" s="131"/>
      <c r="K175" s="53"/>
      <c r="L175" s="57"/>
      <c r="M175" s="57"/>
      <c r="N175" s="53"/>
      <c r="O175" s="53"/>
      <c r="P175" s="53"/>
      <c r="Q175" s="53"/>
      <c r="R175" s="57"/>
      <c r="S175" s="53"/>
      <c r="T175" s="53"/>
      <c r="U175" s="763"/>
      <c r="V175" s="53"/>
      <c r="W175" s="53"/>
      <c r="X175" s="53"/>
      <c r="Y175" s="53"/>
      <c r="Z175" s="53"/>
      <c r="AA175" s="56"/>
      <c r="AB175" s="54"/>
      <c r="AC175" s="54"/>
      <c r="AD175" s="54"/>
      <c r="AE175" s="54"/>
      <c r="AF175" s="131">
        <v>11</v>
      </c>
    </row>
    <row r="176" s="131" customFormat="1" ht="11.5" customHeight="1">
      <c r="A176" s="762"/>
      <c r="B176" s="57"/>
      <c r="C176" s="57"/>
      <c r="D176" s="131"/>
      <c r="K176" s="53"/>
      <c r="L176" s="57"/>
      <c r="M176" s="57"/>
      <c r="N176" s="53"/>
      <c r="O176" s="53"/>
      <c r="P176" s="53"/>
      <c r="Q176" s="53"/>
      <c r="R176" s="57"/>
      <c r="S176" s="53"/>
      <c r="T176" s="53"/>
      <c r="U176" s="763"/>
      <c r="V176" s="53"/>
      <c r="W176" s="53"/>
      <c r="X176" s="53"/>
      <c r="Y176" s="53"/>
      <c r="Z176" s="53"/>
      <c r="AA176" s="56"/>
      <c r="AB176" s="54"/>
      <c r="AC176" s="54"/>
      <c r="AD176" s="54"/>
      <c r="AE176" s="54"/>
      <c r="AF176" s="131">
        <v>11</v>
      </c>
    </row>
    <row r="177" s="131" customFormat="1" ht="11.5" customHeight="1">
      <c r="A177" s="762"/>
      <c r="B177" s="57"/>
      <c r="C177" s="57"/>
      <c r="D177" s="131"/>
      <c r="K177" s="53"/>
      <c r="L177" s="57"/>
      <c r="M177" s="57"/>
      <c r="N177" s="53"/>
      <c r="O177" s="53"/>
      <c r="P177" s="53"/>
      <c r="Q177" s="53"/>
      <c r="R177" s="57"/>
      <c r="S177" s="53"/>
      <c r="T177" s="53"/>
      <c r="U177" s="763"/>
      <c r="V177" s="53"/>
      <c r="W177" s="53"/>
      <c r="X177" s="53"/>
      <c r="Y177" s="53"/>
      <c r="Z177" s="53"/>
      <c r="AA177" s="56"/>
      <c r="AB177" s="54"/>
      <c r="AC177" s="54"/>
      <c r="AD177" s="54"/>
      <c r="AE177" s="54"/>
      <c r="AF177" s="131">
        <v>11</v>
      </c>
    </row>
    <row r="178" s="131" customFormat="1" ht="11.5" customHeight="1">
      <c r="A178" s="762"/>
      <c r="B178" s="57"/>
      <c r="C178" s="57"/>
      <c r="D178" s="131"/>
      <c r="K178" s="53"/>
      <c r="L178" s="57"/>
      <c r="M178" s="57"/>
      <c r="N178" s="53"/>
      <c r="O178" s="53"/>
      <c r="P178" s="53"/>
      <c r="Q178" s="53"/>
      <c r="R178" s="57"/>
      <c r="S178" s="53"/>
      <c r="T178" s="53"/>
      <c r="U178" s="763"/>
      <c r="V178" s="53"/>
      <c r="W178" s="53"/>
      <c r="X178" s="53"/>
      <c r="Y178" s="53"/>
      <c r="Z178" s="53"/>
      <c r="AA178" s="56"/>
      <c r="AB178" s="54"/>
      <c r="AC178" s="54"/>
      <c r="AD178" s="54"/>
      <c r="AE178" s="54"/>
      <c r="AF178" s="131">
        <v>11</v>
      </c>
    </row>
    <row r="179" s="131" customFormat="1" ht="11.5" customHeight="1">
      <c r="A179" s="762"/>
      <c r="B179" s="57"/>
      <c r="C179" s="57"/>
      <c r="D179" s="131"/>
      <c r="K179" s="53"/>
      <c r="L179" s="57"/>
      <c r="M179" s="57"/>
      <c r="N179" s="53"/>
      <c r="O179" s="53"/>
      <c r="P179" s="53"/>
      <c r="Q179" s="53"/>
      <c r="R179" s="57"/>
      <c r="S179" s="53"/>
      <c r="T179" s="53"/>
      <c r="U179" s="763"/>
      <c r="V179" s="53"/>
      <c r="W179" s="53"/>
      <c r="X179" s="53"/>
      <c r="Y179" s="53"/>
      <c r="Z179" s="53"/>
      <c r="AA179" s="56"/>
      <c r="AB179" s="54"/>
      <c r="AC179" s="54"/>
      <c r="AD179" s="54"/>
      <c r="AE179" s="54"/>
      <c r="AF179" s="131">
        <v>11</v>
      </c>
    </row>
    <row r="180" s="131" customFormat="1" ht="11.5" customHeight="1">
      <c r="A180" s="762"/>
      <c r="B180" s="57"/>
      <c r="C180" s="57"/>
      <c r="D180" s="131"/>
      <c r="K180" s="53"/>
      <c r="L180" s="57"/>
      <c r="M180" s="57"/>
      <c r="N180" s="53"/>
      <c r="O180" s="53"/>
      <c r="P180" s="53"/>
      <c r="Q180" s="53"/>
      <c r="R180" s="57"/>
      <c r="S180" s="53"/>
      <c r="T180" s="53"/>
      <c r="U180" s="763"/>
      <c r="V180" s="53"/>
      <c r="W180" s="53"/>
      <c r="X180" s="53"/>
      <c r="Y180" s="53"/>
      <c r="Z180" s="53"/>
      <c r="AA180" s="56"/>
      <c r="AB180" s="54"/>
      <c r="AC180" s="54"/>
      <c r="AD180" s="54"/>
      <c r="AE180" s="54"/>
      <c r="AF180" s="131">
        <v>11</v>
      </c>
    </row>
    <row r="181" s="131" customFormat="1" ht="11.5" customHeight="1">
      <c r="A181" s="762"/>
      <c r="B181" s="57"/>
      <c r="C181" s="57"/>
      <c r="D181" s="131"/>
      <c r="K181" s="53"/>
      <c r="L181" s="57"/>
      <c r="M181" s="57"/>
      <c r="N181" s="53"/>
      <c r="O181" s="53"/>
      <c r="P181" s="53"/>
      <c r="Q181" s="53"/>
      <c r="R181" s="57"/>
      <c r="S181" s="53"/>
      <c r="T181" s="53"/>
      <c r="U181" s="763"/>
      <c r="V181" s="53"/>
      <c r="W181" s="53"/>
      <c r="X181" s="53"/>
      <c r="Y181" s="53"/>
      <c r="Z181" s="53"/>
      <c r="AA181" s="56"/>
      <c r="AB181" s="54"/>
      <c r="AC181" s="54"/>
      <c r="AD181" s="54"/>
      <c r="AE181" s="54"/>
      <c r="AF181" s="131">
        <v>11</v>
      </c>
    </row>
    <row r="182" s="131" customFormat="1" ht="11.5" customHeight="1">
      <c r="A182" s="762"/>
      <c r="B182" s="57"/>
      <c r="C182" s="57"/>
      <c r="D182" s="131"/>
      <c r="K182" s="53"/>
      <c r="L182" s="57"/>
      <c r="M182" s="57"/>
      <c r="N182" s="53"/>
      <c r="O182" s="53"/>
      <c r="P182" s="53"/>
      <c r="Q182" s="53"/>
      <c r="R182" s="57"/>
      <c r="S182" s="53"/>
      <c r="T182" s="53"/>
      <c r="U182" s="763"/>
      <c r="V182" s="53"/>
      <c r="W182" s="53"/>
      <c r="X182" s="53"/>
      <c r="Y182" s="53"/>
      <c r="Z182" s="53"/>
      <c r="AA182" s="56"/>
      <c r="AB182" s="54"/>
      <c r="AC182" s="54"/>
      <c r="AD182" s="54"/>
      <c r="AE182" s="54"/>
      <c r="AF182" s="131">
        <v>11</v>
      </c>
    </row>
    <row r="183" s="131" customFormat="1" ht="11.5" customHeight="1">
      <c r="A183" s="762"/>
      <c r="B183" s="57"/>
      <c r="C183" s="57"/>
      <c r="D183" s="131"/>
      <c r="K183" s="53"/>
      <c r="L183" s="57"/>
      <c r="M183" s="57"/>
      <c r="N183" s="53"/>
      <c r="O183" s="53"/>
      <c r="P183" s="53"/>
      <c r="Q183" s="53"/>
      <c r="R183" s="57"/>
      <c r="S183" s="53"/>
      <c r="T183" s="53"/>
      <c r="U183" s="763"/>
      <c r="V183" s="53"/>
      <c r="W183" s="53"/>
      <c r="X183" s="53"/>
      <c r="Y183" s="53"/>
      <c r="Z183" s="53"/>
      <c r="AA183" s="56"/>
      <c r="AB183" s="54"/>
      <c r="AC183" s="54"/>
      <c r="AD183" s="54"/>
      <c r="AE183" s="54"/>
      <c r="AF183" s="131">
        <v>11</v>
      </c>
    </row>
    <row r="184" s="131" customFormat="1" ht="11.5" customHeight="1">
      <c r="A184" s="762"/>
      <c r="B184" s="57"/>
      <c r="C184" s="57"/>
      <c r="D184" s="131"/>
      <c r="K184" s="53"/>
      <c r="L184" s="57"/>
      <c r="M184" s="57"/>
      <c r="N184" s="53"/>
      <c r="O184" s="53"/>
      <c r="P184" s="53"/>
      <c r="Q184" s="53"/>
      <c r="R184" s="57"/>
      <c r="S184" s="53"/>
      <c r="T184" s="53"/>
      <c r="U184" s="763"/>
      <c r="V184" s="53"/>
      <c r="W184" s="53"/>
      <c r="X184" s="53"/>
      <c r="Y184" s="53"/>
      <c r="Z184" s="53"/>
      <c r="AA184" s="56"/>
      <c r="AB184" s="54"/>
      <c r="AC184" s="54"/>
      <c r="AD184" s="54"/>
      <c r="AE184" s="54"/>
      <c r="AF184" s="131">
        <v>11</v>
      </c>
    </row>
    <row r="185" s="131" customFormat="1" ht="11.5" customHeight="1">
      <c r="A185" s="762"/>
      <c r="B185" s="57"/>
      <c r="C185" s="57"/>
      <c r="D185" s="131"/>
      <c r="K185" s="53"/>
      <c r="L185" s="57"/>
      <c r="M185" s="57"/>
      <c r="N185" s="53"/>
      <c r="O185" s="53"/>
      <c r="P185" s="53"/>
      <c r="Q185" s="53"/>
      <c r="R185" s="57"/>
      <c r="S185" s="53"/>
      <c r="T185" s="53"/>
      <c r="U185" s="763"/>
      <c r="V185" s="53"/>
      <c r="W185" s="53"/>
      <c r="X185" s="53"/>
      <c r="Y185" s="53"/>
      <c r="Z185" s="53"/>
      <c r="AA185" s="56"/>
      <c r="AB185" s="54"/>
      <c r="AC185" s="54"/>
      <c r="AD185" s="54"/>
      <c r="AE185" s="54"/>
      <c r="AF185" s="131">
        <v>11</v>
      </c>
    </row>
    <row r="186" s="131" customFormat="1" ht="11.5" customHeight="1">
      <c r="A186" s="762"/>
      <c r="B186" s="57"/>
      <c r="C186" s="57"/>
      <c r="D186" s="131"/>
      <c r="K186" s="53"/>
      <c r="L186" s="57"/>
      <c r="M186" s="57"/>
      <c r="N186" s="53"/>
      <c r="O186" s="53"/>
      <c r="P186" s="53"/>
      <c r="Q186" s="53"/>
      <c r="R186" s="57"/>
      <c r="S186" s="53"/>
      <c r="T186" s="53"/>
      <c r="U186" s="763"/>
      <c r="V186" s="53"/>
      <c r="W186" s="53"/>
      <c r="X186" s="53"/>
      <c r="Y186" s="53"/>
      <c r="Z186" s="53"/>
      <c r="AA186" s="56"/>
      <c r="AB186" s="54"/>
      <c r="AC186" s="54"/>
      <c r="AD186" s="54"/>
      <c r="AE186" s="54"/>
      <c r="AF186" s="131">
        <v>11</v>
      </c>
    </row>
    <row r="187" s="131" customFormat="1" ht="11.5" customHeight="1">
      <c r="A187" s="762"/>
      <c r="B187" s="57"/>
      <c r="C187" s="57"/>
      <c r="D187" s="131"/>
      <c r="K187" s="53"/>
      <c r="L187" s="57"/>
      <c r="M187" s="57"/>
      <c r="N187" s="53"/>
      <c r="O187" s="53"/>
      <c r="P187" s="53"/>
      <c r="Q187" s="53"/>
      <c r="R187" s="57"/>
      <c r="S187" s="53"/>
      <c r="T187" s="53"/>
      <c r="U187" s="763"/>
      <c r="V187" s="53"/>
      <c r="W187" s="53"/>
      <c r="X187" s="53"/>
      <c r="Y187" s="53"/>
      <c r="Z187" s="53"/>
      <c r="AA187" s="56"/>
      <c r="AB187" s="54"/>
      <c r="AC187" s="54"/>
      <c r="AD187" s="54"/>
      <c r="AE187" s="54"/>
      <c r="AF187" s="131">
        <v>11</v>
      </c>
    </row>
    <row r="188" s="131" customFormat="1" ht="11.5" customHeight="1">
      <c r="A188" s="762"/>
      <c r="B188" s="57"/>
      <c r="C188" s="57"/>
      <c r="D188" s="131"/>
      <c r="K188" s="53"/>
      <c r="L188" s="57"/>
      <c r="M188" s="57"/>
      <c r="N188" s="53"/>
      <c r="O188" s="53"/>
      <c r="P188" s="53"/>
      <c r="Q188" s="53"/>
      <c r="R188" s="57"/>
      <c r="S188" s="53"/>
      <c r="T188" s="53"/>
      <c r="U188" s="763"/>
      <c r="V188" s="53"/>
      <c r="W188" s="53"/>
      <c r="X188" s="53"/>
      <c r="Y188" s="53"/>
      <c r="Z188" s="53"/>
      <c r="AA188" s="56"/>
      <c r="AB188" s="54"/>
      <c r="AC188" s="54"/>
      <c r="AD188" s="54"/>
      <c r="AE188" s="54"/>
      <c r="AF188" s="131">
        <v>11</v>
      </c>
    </row>
    <row r="189" s="131" customFormat="1" ht="11.5" customHeight="1">
      <c r="A189" s="762"/>
      <c r="B189" s="57"/>
      <c r="C189" s="57"/>
      <c r="D189" s="131"/>
      <c r="K189" s="53"/>
      <c r="L189" s="57"/>
      <c r="M189" s="57"/>
      <c r="N189" s="53"/>
      <c r="O189" s="53"/>
      <c r="P189" s="53"/>
      <c r="Q189" s="53"/>
      <c r="R189" s="57"/>
      <c r="S189" s="53"/>
      <c r="T189" s="53"/>
      <c r="U189" s="763"/>
      <c r="V189" s="53"/>
      <c r="W189" s="53"/>
      <c r="X189" s="53"/>
      <c r="Y189" s="53"/>
      <c r="Z189" s="53"/>
      <c r="AA189" s="56"/>
      <c r="AB189" s="54"/>
      <c r="AC189" s="54"/>
      <c r="AD189" s="54"/>
      <c r="AE189" s="54"/>
      <c r="AF189" s="131">
        <v>11</v>
      </c>
    </row>
    <row r="190" s="131" customFormat="1" ht="11.5" customHeight="1">
      <c r="A190" s="762"/>
      <c r="B190" s="57"/>
      <c r="C190" s="57"/>
      <c r="D190" s="131"/>
      <c r="K190" s="53"/>
      <c r="L190" s="57"/>
      <c r="M190" s="57"/>
      <c r="N190" s="53"/>
      <c r="O190" s="53"/>
      <c r="P190" s="53"/>
      <c r="Q190" s="53"/>
      <c r="R190" s="57"/>
      <c r="S190" s="53"/>
      <c r="T190" s="53"/>
      <c r="U190" s="763"/>
      <c r="V190" s="53"/>
      <c r="W190" s="53"/>
      <c r="X190" s="53"/>
      <c r="Y190" s="53"/>
      <c r="Z190" s="53"/>
      <c r="AA190" s="56"/>
      <c r="AB190" s="54"/>
      <c r="AC190" s="54"/>
      <c r="AD190" s="54"/>
      <c r="AE190" s="54"/>
      <c r="AF190" s="131">
        <v>11</v>
      </c>
    </row>
    <row r="191" s="131" customFormat="1" ht="11.5" customHeight="1">
      <c r="A191" s="762"/>
      <c r="B191" s="57"/>
      <c r="C191" s="57"/>
      <c r="D191" s="131"/>
      <c r="K191" s="53"/>
      <c r="L191" s="57"/>
      <c r="M191" s="57"/>
      <c r="N191" s="53"/>
      <c r="O191" s="53"/>
      <c r="P191" s="53"/>
      <c r="Q191" s="53"/>
      <c r="R191" s="57"/>
      <c r="S191" s="53"/>
      <c r="T191" s="53"/>
      <c r="U191" s="763"/>
      <c r="V191" s="53"/>
      <c r="W191" s="53"/>
      <c r="X191" s="53"/>
      <c r="Y191" s="53"/>
      <c r="Z191" s="53"/>
      <c r="AA191" s="56"/>
      <c r="AB191" s="54"/>
      <c r="AC191" s="54"/>
      <c r="AD191" s="54"/>
      <c r="AE191" s="54"/>
      <c r="AF191" s="131">
        <v>11</v>
      </c>
    </row>
    <row r="192" s="131" customFormat="1" ht="11.5" customHeight="1">
      <c r="A192" s="762"/>
      <c r="B192" s="57"/>
      <c r="C192" s="57"/>
      <c r="D192" s="131"/>
      <c r="K192" s="53"/>
      <c r="L192" s="57"/>
      <c r="M192" s="57"/>
      <c r="N192" s="53"/>
      <c r="O192" s="53"/>
      <c r="P192" s="53"/>
      <c r="Q192" s="53"/>
      <c r="R192" s="57"/>
      <c r="S192" s="53"/>
      <c r="T192" s="53"/>
      <c r="U192" s="763"/>
      <c r="V192" s="53"/>
      <c r="W192" s="53"/>
      <c r="X192" s="53"/>
      <c r="Y192" s="53"/>
      <c r="Z192" s="53"/>
      <c r="AA192" s="56"/>
      <c r="AB192" s="54"/>
      <c r="AC192" s="54"/>
      <c r="AD192" s="54"/>
      <c r="AE192" s="54"/>
      <c r="AF192" s="131">
        <v>11</v>
      </c>
    </row>
    <row r="193" s="131" customFormat="1" ht="11.5" customHeight="1">
      <c r="A193" s="762"/>
      <c r="B193" s="57"/>
      <c r="C193" s="57"/>
      <c r="D193" s="131"/>
      <c r="K193" s="53"/>
      <c r="L193" s="57"/>
      <c r="M193" s="57"/>
      <c r="N193" s="53"/>
      <c r="O193" s="53"/>
      <c r="P193" s="53"/>
      <c r="Q193" s="53"/>
      <c r="R193" s="57"/>
      <c r="S193" s="53"/>
      <c r="T193" s="53"/>
      <c r="U193" s="763"/>
      <c r="V193" s="53"/>
      <c r="W193" s="53"/>
      <c r="X193" s="53"/>
      <c r="Y193" s="53"/>
      <c r="Z193" s="53"/>
      <c r="AA193" s="56"/>
      <c r="AB193" s="54"/>
      <c r="AC193" s="54"/>
      <c r="AD193" s="54"/>
      <c r="AE193" s="54"/>
      <c r="AF193" s="131">
        <v>11</v>
      </c>
    </row>
    <row r="194" s="131" customFormat="1" ht="11.5" customHeight="1">
      <c r="A194" s="762"/>
      <c r="B194" s="57"/>
      <c r="C194" s="57"/>
      <c r="D194" s="131"/>
      <c r="K194" s="53"/>
      <c r="L194" s="57"/>
      <c r="M194" s="57"/>
      <c r="N194" s="53"/>
      <c r="O194" s="53"/>
      <c r="P194" s="53"/>
      <c r="Q194" s="53"/>
      <c r="R194" s="57"/>
      <c r="S194" s="53"/>
      <c r="T194" s="53"/>
      <c r="U194" s="763"/>
      <c r="V194" s="53"/>
      <c r="W194" s="53"/>
      <c r="X194" s="53"/>
      <c r="Y194" s="53"/>
      <c r="Z194" s="53"/>
      <c r="AA194" s="56"/>
      <c r="AB194" s="54"/>
      <c r="AC194" s="54"/>
      <c r="AD194" s="54"/>
      <c r="AE194" s="54"/>
      <c r="AF194" s="131">
        <v>11</v>
      </c>
    </row>
    <row r="195" s="131" customFormat="1" ht="11.5" customHeight="1">
      <c r="A195" s="762"/>
      <c r="B195" s="57"/>
      <c r="C195" s="57"/>
      <c r="D195" s="131"/>
      <c r="K195" s="53"/>
      <c r="L195" s="57"/>
      <c r="M195" s="57"/>
      <c r="N195" s="53"/>
      <c r="O195" s="53"/>
      <c r="P195" s="53"/>
      <c r="Q195" s="53"/>
      <c r="R195" s="57"/>
      <c r="S195" s="53"/>
      <c r="T195" s="53"/>
      <c r="U195" s="763"/>
      <c r="V195" s="53"/>
      <c r="W195" s="53"/>
      <c r="X195" s="53"/>
      <c r="Y195" s="53"/>
      <c r="Z195" s="53"/>
      <c r="AA195" s="56"/>
      <c r="AB195" s="54"/>
      <c r="AC195" s="54"/>
      <c r="AD195" s="54"/>
      <c r="AE195" s="54"/>
      <c r="AF195" s="131">
        <v>11</v>
      </c>
    </row>
    <row r="196" ht="11.5" customHeight="1">
      <c r="AF196" s="50">
        <v>11</v>
      </c>
    </row>
    <row r="197" ht="11.5" customHeight="1">
      <c r="AF197" s="50">
        <v>11</v>
      </c>
    </row>
    <row r="198" ht="11.5" customHeight="1">
      <c r="AF198" s="50">
        <v>11</v>
      </c>
    </row>
    <row r="199" ht="11.5" customHeight="1">
      <c r="A199" s="830"/>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830"/>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830"/>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830"/>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830"/>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830"/>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830"/>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830"/>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30"/>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30"/>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30"/>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62" t="s">
        <v>82</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63">
        <v>8</v>
      </c>
      <c r="V210" s="53">
        <v>8</v>
      </c>
      <c r="W210" s="53">
        <v>8</v>
      </c>
      <c r="X210" s="53">
        <v>8</v>
      </c>
      <c r="Y210" s="53">
        <v>8</v>
      </c>
      <c r="Z210" s="53">
        <v>8</v>
      </c>
      <c r="AA210" s="56">
        <v>8</v>
      </c>
      <c r="AB210" s="56">
        <v>8</v>
      </c>
      <c r="AC210" s="56">
        <v>8</v>
      </c>
      <c r="AD210" s="56">
        <v>8</v>
      </c>
      <c r="AE210" s="56">
        <v>8</v>
      </c>
      <c r="AF210" s="50">
        <v>11</v>
      </c>
    </row>
  </sheetData>
  <sheetProtection autoFilter="0" deleteColumns="0" deleteRows="0" formatCells="1" formatColumns="0" formatRows="0" insertColumns="1" insertHyperlinks="1" insertRows="0" pivotTables="1" selectLockedCells="0" selectUnlockedCells="0" sheet="0" sort="0"/>
  <mergeCells count="9">
    <mergeCell ref="F40:G40"/>
    <mergeCell ref="E6:I6"/>
    <mergeCell ref="E7:I7"/>
    <mergeCell ref="F10:G10"/>
    <mergeCell ref="J10:J14"/>
    <mergeCell ref="F11:G11"/>
    <mergeCell ref="F12:G12"/>
    <mergeCell ref="E13:G13"/>
    <mergeCell ref="F39:G3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86004C-00DF-439A-B2C7-003100D70019}"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 xr:uid="{005200F5-00FA-4320-9E69-00B30077004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4100EE-007C-4CA8-862D-00B800AD006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DF0085-00C7-40C6-8845-00160021009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D700BF-0096-4995-AB4E-004900B6009F}"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4"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4"/>
      <c r="B1" s="57"/>
      <c r="G1" s="53">
        <v>4</v>
      </c>
      <c r="I1" s="53">
        <v>4</v>
      </c>
      <c r="K1" s="53">
        <v>5</v>
      </c>
      <c r="X1" s="53" t="s">
        <v>14</v>
      </c>
    </row>
    <row r="2" ht="3" customHeight="1">
      <c r="X2" s="50">
        <v>3</v>
      </c>
    </row>
    <row r="3" ht="78.75" customHeight="1">
      <c r="D3" s="185"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86"/>
      <c r="F3" s="187"/>
      <c r="X3" s="50">
        <v>75</v>
      </c>
    </row>
    <row r="4" s="50" customFormat="1" ht="21" customHeight="1">
      <c r="A4" s="124"/>
      <c r="B4" s="57"/>
      <c r="D4" s="422" t="str">
        <f>IF(org=0,"Не определено",org)</f>
        <v xml:space="preserve">филиал Пермская ГРЭС АО "Интер РАО - Электрогенерация"</v>
      </c>
      <c r="E4" s="423"/>
      <c r="F4" s="424"/>
      <c r="X4" s="50">
        <v>20</v>
      </c>
    </row>
    <row r="5" ht="11.5" customHeight="1">
      <c r="C5" s="50"/>
      <c r="D5" s="50"/>
      <c r="E5" s="50"/>
      <c r="F5" s="50"/>
      <c r="G5" s="50"/>
      <c r="H5" s="356"/>
      <c r="I5" s="50"/>
      <c r="J5" s="356"/>
      <c r="K5" s="50"/>
      <c r="X5" s="50">
        <v>11</v>
      </c>
    </row>
    <row r="6" ht="1.05" customHeight="1">
      <c r="C6" s="50"/>
      <c r="D6" s="50"/>
      <c r="E6" s="51"/>
      <c r="F6" s="834"/>
      <c r="G6" s="899"/>
      <c r="H6" s="899"/>
      <c r="I6" s="899" t="s">
        <v>117</v>
      </c>
      <c r="J6" s="899"/>
      <c r="X6" s="50">
        <v>1</v>
      </c>
    </row>
    <row r="7" ht="11.5" customHeight="1">
      <c r="D7" s="778"/>
      <c r="E7" s="779" t="s">
        <v>105</v>
      </c>
      <c r="F7" s="780"/>
      <c r="G7" s="781" t="str">
        <f>IF(G6="","",INDEX(DIFFERENTIATION_UNMERGE_VD,MATCH(G6,DIFFERENTIATION_ID_DIFF,0)))</f>
        <v/>
      </c>
      <c r="H7" s="900"/>
      <c r="I7" s="781">
        <f>IF(I6="","",INDEX(DIFFERENTIATION_UNMERGE_VD,MATCH(I6,DIFFERENTIATION_ID_DIFF,0)))</f>
        <v>0</v>
      </c>
      <c r="J7" s="900"/>
      <c r="K7" s="324"/>
      <c r="L7" s="50"/>
      <c r="X7" s="50">
        <v>11</v>
      </c>
    </row>
    <row r="8" ht="11.5" customHeight="1">
      <c r="A8" s="124"/>
      <c r="D8" s="778"/>
      <c r="E8" s="779" t="s">
        <v>566</v>
      </c>
      <c r="F8" s="780"/>
      <c r="G8" s="781" t="str">
        <f>IF(G6="","",INDEX(DIFFERENTIATION_UNMERGE_AREA,MATCH(G6,DIFFERENTIATION_ID_DIFF,0)))</f>
        <v/>
      </c>
      <c r="H8" s="900"/>
      <c r="I8" s="781" t="str">
        <f>IF(I6="","",INDEX(DIFFERENTIATION_UNMERGE_AREA,MATCH(I6,DIFFERENTIATION_ID_DIFF,0)))</f>
        <v/>
      </c>
      <c r="J8" s="900"/>
      <c r="K8" s="323"/>
      <c r="L8" s="50"/>
      <c r="X8" s="50">
        <v>11</v>
      </c>
    </row>
    <row r="9" ht="11.5" customHeight="1">
      <c r="A9" s="124"/>
      <c r="D9" s="778"/>
      <c r="E9" s="779" t="s">
        <v>567</v>
      </c>
      <c r="F9" s="780"/>
      <c r="G9" s="781" t="str">
        <f>IF(G6="","",INDEX(DIFFERENTIATION_UNMERGE_SYSTEM,MATCH(G6,DIFFERENTIATION_ID_DIFF,0)))</f>
        <v/>
      </c>
      <c r="H9" s="900"/>
      <c r="I9" s="781" t="str">
        <f>IF(I6="","",INDEX(DIFFERENTIATION_UNMERGE_SYSTEM,MATCH(I6,DIFFERENTIATION_ID_DIFF,0)))</f>
        <v xml:space="preserve">без дифференциации</v>
      </c>
      <c r="J9" s="900"/>
      <c r="K9" s="323"/>
      <c r="L9" s="50"/>
      <c r="X9" s="50">
        <v>11</v>
      </c>
    </row>
    <row r="10" s="50" customFormat="1" ht="11.5" customHeight="1">
      <c r="A10" s="124"/>
      <c r="B10" s="57"/>
      <c r="D10" s="73" t="s">
        <v>302</v>
      </c>
      <c r="E10" s="145"/>
      <c r="F10" s="145"/>
      <c r="G10" s="145"/>
      <c r="H10" s="145"/>
      <c r="I10" s="145"/>
      <c r="J10" s="72"/>
      <c r="K10" s="323"/>
      <c r="L10" s="50"/>
      <c r="X10" s="50">
        <v>11</v>
      </c>
    </row>
    <row r="11" s="50" customFormat="1" ht="24" customHeight="1">
      <c r="A11" s="588"/>
      <c r="B11" s="588"/>
      <c r="C11" s="409"/>
      <c r="D11" s="157" t="s">
        <v>88</v>
      </c>
      <c r="E11" s="157" t="s">
        <v>808</v>
      </c>
      <c r="F11" s="157" t="s">
        <v>568</v>
      </c>
      <c r="G11" s="157" t="s">
        <v>305</v>
      </c>
      <c r="H11" s="157" t="s">
        <v>392</v>
      </c>
      <c r="I11" s="157" t="s">
        <v>305</v>
      </c>
      <c r="J11" s="73" t="s">
        <v>392</v>
      </c>
      <c r="K11" s="162"/>
      <c r="L11" s="588"/>
      <c r="X11" s="50">
        <v>23</v>
      </c>
    </row>
    <row r="12" s="57" customFormat="1" ht="10.5" customHeight="1">
      <c r="A12" s="545"/>
      <c r="D12" s="545" t="s">
        <v>109</v>
      </c>
      <c r="E12" s="545" t="s">
        <v>110</v>
      </c>
      <c r="F12" s="545" t="s">
        <v>90</v>
      </c>
      <c r="G12" s="132" t="str">
        <f>G1&amp;".1"</f>
        <v>4.1</v>
      </c>
      <c r="H12" s="132" t="str">
        <f>G1&amp;".2"</f>
        <v>4.2</v>
      </c>
      <c r="I12" s="132" t="str">
        <f>I1&amp;".1"</f>
        <v>4.1</v>
      </c>
      <c r="J12" s="132" t="str">
        <f>I1&amp;".2"</f>
        <v>4.2</v>
      </c>
      <c r="K12" s="132"/>
      <c r="X12" s="57">
        <v>10</v>
      </c>
    </row>
    <row r="13" ht="22.5" hidden="1" customHeight="1">
      <c r="A13" s="901" t="s">
        <v>809</v>
      </c>
      <c r="D13" s="218" t="s">
        <v>109</v>
      </c>
      <c r="E13" s="330" t="s">
        <v>810</v>
      </c>
      <c r="F13" s="146" t="s">
        <v>811</v>
      </c>
      <c r="G13" s="784"/>
      <c r="H13" s="867"/>
      <c r="I13" s="784"/>
      <c r="J13" s="867"/>
      <c r="K13" s="499" t="s">
        <v>812</v>
      </c>
      <c r="L13" s="902"/>
      <c r="X13" s="50">
        <v>0</v>
      </c>
    </row>
    <row r="14" ht="22.5" hidden="1" customHeight="1">
      <c r="A14" s="901"/>
      <c r="D14" s="218" t="s">
        <v>110</v>
      </c>
      <c r="E14" s="330" t="s">
        <v>813</v>
      </c>
      <c r="F14" s="146" t="s">
        <v>814</v>
      </c>
      <c r="G14" s="784"/>
      <c r="H14" s="867"/>
      <c r="I14" s="784"/>
      <c r="J14" s="867"/>
      <c r="K14" s="499" t="s">
        <v>815</v>
      </c>
      <c r="L14" s="902"/>
      <c r="X14" s="50">
        <v>0</v>
      </c>
    </row>
    <row r="15" s="50" customFormat="1" ht="78.75" hidden="1" customHeight="1">
      <c r="A15" s="901"/>
      <c r="B15" s="57"/>
      <c r="D15" s="218" t="s">
        <v>90</v>
      </c>
      <c r="E15" s="330" t="s">
        <v>816</v>
      </c>
      <c r="F15" s="157" t="s">
        <v>308</v>
      </c>
      <c r="G15" s="157" t="s">
        <v>308</v>
      </c>
      <c r="H15" s="295"/>
      <c r="I15" s="157" t="s">
        <v>308</v>
      </c>
      <c r="J15" s="295"/>
      <c r="K15" s="499" t="s">
        <v>817</v>
      </c>
      <c r="L15" s="902"/>
      <c r="X15" s="50">
        <v>0</v>
      </c>
    </row>
    <row r="16" s="50" customFormat="1" ht="22.5" hidden="1" customHeight="1">
      <c r="A16" s="901"/>
      <c r="B16" s="57"/>
      <c r="D16" s="218" t="s">
        <v>326</v>
      </c>
      <c r="E16" s="686" t="s">
        <v>818</v>
      </c>
      <c r="F16" s="157" t="s">
        <v>819</v>
      </c>
      <c r="G16" s="903"/>
      <c r="H16" s="295"/>
      <c r="I16" s="903"/>
      <c r="J16" s="295"/>
      <c r="K16" s="499"/>
      <c r="L16" s="902"/>
      <c r="X16" s="50">
        <v>0</v>
      </c>
    </row>
    <row r="17" s="50" customFormat="1" ht="22.5" hidden="1" customHeight="1">
      <c r="A17" s="901"/>
      <c r="B17" s="57"/>
      <c r="D17" s="218" t="s">
        <v>334</v>
      </c>
      <c r="E17" s="686" t="s">
        <v>820</v>
      </c>
      <c r="F17" s="157" t="s">
        <v>821</v>
      </c>
      <c r="G17" s="903"/>
      <c r="H17" s="295"/>
      <c r="I17" s="903"/>
      <c r="J17" s="295"/>
      <c r="K17" s="499"/>
      <c r="L17" s="902"/>
      <c r="X17" s="50">
        <v>0</v>
      </c>
    </row>
    <row r="18" s="50" customFormat="1" ht="33.75" hidden="1" customHeight="1">
      <c r="A18" s="901"/>
      <c r="B18" s="57"/>
      <c r="D18" s="218" t="s">
        <v>336</v>
      </c>
      <c r="E18" s="686" t="s">
        <v>822</v>
      </c>
      <c r="F18" s="157" t="s">
        <v>573</v>
      </c>
      <c r="G18" s="904"/>
      <c r="H18" s="295"/>
      <c r="I18" s="904"/>
      <c r="J18" s="295"/>
      <c r="K18" s="499"/>
      <c r="L18" s="902"/>
      <c r="X18" s="50">
        <v>0</v>
      </c>
    </row>
    <row r="19" ht="101.25" hidden="1" customHeight="1">
      <c r="A19" s="901"/>
      <c r="D19" s="218" t="s">
        <v>91</v>
      </c>
      <c r="E19" s="330" t="s">
        <v>823</v>
      </c>
      <c r="F19" s="146" t="s">
        <v>548</v>
      </c>
      <c r="G19" s="462"/>
      <c r="H19" s="867"/>
      <c r="I19" s="462"/>
      <c r="J19" s="867"/>
      <c r="K19" s="499" t="s">
        <v>824</v>
      </c>
      <c r="L19" s="902"/>
      <c r="X19" s="50">
        <v>0</v>
      </c>
    </row>
    <row r="20" s="50" customFormat="1" ht="18.75" hidden="1" customHeight="1">
      <c r="A20" s="901"/>
      <c r="C20" s="128"/>
      <c r="D20" s="218" t="s">
        <v>755</v>
      </c>
      <c r="E20" s="686" t="s">
        <v>825</v>
      </c>
      <c r="F20" s="157" t="s">
        <v>308</v>
      </c>
      <c r="G20" s="157" t="s">
        <v>308</v>
      </c>
      <c r="H20" s="324" t="s">
        <v>308</v>
      </c>
      <c r="I20" s="157" t="s">
        <v>308</v>
      </c>
      <c r="J20" s="324" t="s">
        <v>308</v>
      </c>
      <c r="K20" s="73"/>
      <c r="L20" s="902"/>
      <c r="W20" s="114"/>
      <c r="X20" s="50">
        <v>0</v>
      </c>
    </row>
    <row r="21" s="50" customFormat="1" ht="33.75" hidden="1" customHeight="1">
      <c r="A21" s="901"/>
      <c r="C21" s="128"/>
      <c r="D21" s="218" t="s">
        <v>758</v>
      </c>
      <c r="E21" s="800" t="s">
        <v>826</v>
      </c>
      <c r="F21" s="157" t="s">
        <v>827</v>
      </c>
      <c r="G21" s="904"/>
      <c r="H21" s="295"/>
      <c r="I21" s="904"/>
      <c r="J21" s="295"/>
      <c r="K21" s="73"/>
      <c r="L21" s="902"/>
      <c r="W21" s="114"/>
      <c r="X21" s="50">
        <v>0</v>
      </c>
    </row>
    <row r="22" s="50" customFormat="1" ht="33.75" hidden="1" customHeight="1">
      <c r="A22" s="901"/>
      <c r="C22" s="128"/>
      <c r="D22" s="218" t="s">
        <v>761</v>
      </c>
      <c r="E22" s="800" t="s">
        <v>828</v>
      </c>
      <c r="F22" s="157" t="s">
        <v>829</v>
      </c>
      <c r="G22" s="904"/>
      <c r="H22" s="295"/>
      <c r="I22" s="904"/>
      <c r="J22" s="295"/>
      <c r="K22" s="73"/>
      <c r="L22" s="902"/>
      <c r="W22" s="114"/>
      <c r="X22" s="50">
        <v>0</v>
      </c>
    </row>
    <row r="23" s="50" customFormat="1" ht="22.5" hidden="1" customHeight="1">
      <c r="A23" s="901"/>
      <c r="C23" s="128"/>
      <c r="D23" s="218" t="s">
        <v>797</v>
      </c>
      <c r="E23" s="686" t="s">
        <v>830</v>
      </c>
      <c r="F23" s="157" t="s">
        <v>308</v>
      </c>
      <c r="G23" s="157" t="s">
        <v>308</v>
      </c>
      <c r="H23" s="324" t="s">
        <v>308</v>
      </c>
      <c r="I23" s="157" t="s">
        <v>308</v>
      </c>
      <c r="J23" s="324" t="s">
        <v>308</v>
      </c>
      <c r="K23" s="73"/>
      <c r="L23" s="902"/>
      <c r="W23" s="114"/>
      <c r="X23" s="50">
        <v>0</v>
      </c>
    </row>
    <row r="24" s="50" customFormat="1" ht="22.5" hidden="1" customHeight="1">
      <c r="A24" s="901"/>
      <c r="C24" s="128"/>
      <c r="D24" s="218" t="s">
        <v>831</v>
      </c>
      <c r="E24" s="800" t="s">
        <v>832</v>
      </c>
      <c r="F24" s="157" t="s">
        <v>833</v>
      </c>
      <c r="G24" s="904"/>
      <c r="H24" s="692"/>
      <c r="I24" s="904"/>
      <c r="J24" s="692"/>
      <c r="K24" s="73"/>
      <c r="L24" s="902"/>
      <c r="W24" s="114"/>
      <c r="X24" s="50">
        <v>0</v>
      </c>
    </row>
    <row r="25" s="50" customFormat="1" ht="22.5" hidden="1" customHeight="1">
      <c r="A25" s="901"/>
      <c r="C25" s="128"/>
      <c r="D25" s="218" t="s">
        <v>834</v>
      </c>
      <c r="E25" s="800" t="s">
        <v>835</v>
      </c>
      <c r="F25" s="157" t="s">
        <v>308</v>
      </c>
      <c r="G25" s="157" t="s">
        <v>308</v>
      </c>
      <c r="H25" s="324" t="s">
        <v>308</v>
      </c>
      <c r="I25" s="157" t="s">
        <v>308</v>
      </c>
      <c r="J25" s="324" t="s">
        <v>308</v>
      </c>
      <c r="K25" s="73"/>
      <c r="L25" s="902"/>
      <c r="W25" s="114"/>
      <c r="X25" s="50">
        <v>0</v>
      </c>
    </row>
    <row r="26" s="50" customFormat="1" ht="18.75" hidden="1" customHeight="1">
      <c r="A26" s="901"/>
      <c r="C26" s="128"/>
      <c r="D26" s="218" t="s">
        <v>836</v>
      </c>
      <c r="E26" s="769" t="s">
        <v>837</v>
      </c>
      <c r="F26" s="157" t="s">
        <v>838</v>
      </c>
      <c r="G26" s="904"/>
      <c r="H26" s="692"/>
      <c r="I26" s="904"/>
      <c r="J26" s="692"/>
      <c r="K26" s="73"/>
      <c r="L26" s="902"/>
      <c r="W26" s="114"/>
      <c r="X26" s="50">
        <v>0</v>
      </c>
    </row>
    <row r="27" s="50" customFormat="1" ht="18.75" hidden="1" customHeight="1">
      <c r="A27" s="901"/>
      <c r="C27" s="128"/>
      <c r="D27" s="218" t="s">
        <v>839</v>
      </c>
      <c r="E27" s="769" t="s">
        <v>840</v>
      </c>
      <c r="F27" s="157" t="s">
        <v>841</v>
      </c>
      <c r="G27" s="904"/>
      <c r="H27" s="692"/>
      <c r="I27" s="904"/>
      <c r="J27" s="692"/>
      <c r="K27" s="73"/>
      <c r="L27" s="902"/>
      <c r="W27" s="114"/>
      <c r="X27" s="50">
        <v>0</v>
      </c>
    </row>
    <row r="28" s="50" customFormat="1" ht="18.75" hidden="1" customHeight="1">
      <c r="A28" s="901"/>
      <c r="C28" s="128"/>
      <c r="D28" s="218" t="s">
        <v>842</v>
      </c>
      <c r="E28" s="800" t="s">
        <v>843</v>
      </c>
      <c r="F28" s="157" t="s">
        <v>308</v>
      </c>
      <c r="G28" s="157" t="s">
        <v>308</v>
      </c>
      <c r="H28" s="324" t="s">
        <v>308</v>
      </c>
      <c r="I28" s="157" t="s">
        <v>308</v>
      </c>
      <c r="J28" s="324" t="s">
        <v>308</v>
      </c>
      <c r="K28" s="73"/>
      <c r="L28" s="902"/>
      <c r="W28" s="114"/>
      <c r="X28" s="50">
        <v>0</v>
      </c>
    </row>
    <row r="29" s="50" customFormat="1" ht="18.75" hidden="1" customHeight="1">
      <c r="A29" s="901"/>
      <c r="C29" s="128"/>
      <c r="D29" s="218" t="s">
        <v>844</v>
      </c>
      <c r="E29" s="769" t="s">
        <v>837</v>
      </c>
      <c r="F29" s="157" t="s">
        <v>845</v>
      </c>
      <c r="G29" s="904"/>
      <c r="H29" s="692"/>
      <c r="I29" s="904"/>
      <c r="J29" s="692"/>
      <c r="K29" s="73"/>
      <c r="L29" s="902"/>
      <c r="W29" s="114"/>
      <c r="X29" s="50">
        <v>0</v>
      </c>
    </row>
    <row r="30" s="50" customFormat="1" ht="18.75" hidden="1" customHeight="1">
      <c r="A30" s="901"/>
      <c r="C30" s="128"/>
      <c r="D30" s="218" t="s">
        <v>846</v>
      </c>
      <c r="E30" s="769" t="s">
        <v>847</v>
      </c>
      <c r="F30" s="157" t="s">
        <v>848</v>
      </c>
      <c r="G30" s="904"/>
      <c r="H30" s="692"/>
      <c r="I30" s="904"/>
      <c r="J30" s="692"/>
      <c r="K30" s="73"/>
      <c r="L30" s="902"/>
      <c r="W30" s="114"/>
      <c r="X30" s="50">
        <v>0</v>
      </c>
    </row>
    <row r="31" ht="126.75" hidden="1" customHeight="1">
      <c r="A31" s="901"/>
      <c r="D31" s="218" t="s">
        <v>111</v>
      </c>
      <c r="E31" s="330" t="s">
        <v>849</v>
      </c>
      <c r="F31" s="146" t="s">
        <v>560</v>
      </c>
      <c r="G31" s="784"/>
      <c r="H31" s="867"/>
      <c r="I31" s="784"/>
      <c r="J31" s="867"/>
      <c r="K31" s="499" t="s">
        <v>850</v>
      </c>
      <c r="L31" s="902"/>
      <c r="X31" s="50">
        <v>0</v>
      </c>
    </row>
    <row r="32" ht="56.25" hidden="1" customHeight="1">
      <c r="A32" s="901"/>
      <c r="D32" s="218" t="s">
        <v>92</v>
      </c>
      <c r="E32" s="330" t="s">
        <v>851</v>
      </c>
      <c r="F32" s="218" t="s">
        <v>821</v>
      </c>
      <c r="G32" s="784"/>
      <c r="H32" s="867"/>
      <c r="I32" s="784"/>
      <c r="J32" s="867"/>
      <c r="K32" s="499" t="s">
        <v>852</v>
      </c>
      <c r="L32" s="902"/>
      <c r="X32" s="50">
        <v>0</v>
      </c>
    </row>
    <row r="33" ht="11.25" hidden="1" customHeight="1">
      <c r="A33" s="901"/>
      <c r="E33" s="491"/>
      <c r="F33" s="180"/>
      <c r="G33" s="180"/>
      <c r="H33" s="180"/>
      <c r="I33" s="180"/>
      <c r="J33" s="180"/>
      <c r="K33" s="180"/>
      <c r="X33" s="50">
        <v>0</v>
      </c>
    </row>
    <row r="34" ht="12.75" hidden="1" customHeight="1">
      <c r="A34" s="901"/>
      <c r="D34" s="409">
        <v>1</v>
      </c>
      <c r="E34" s="905" t="s">
        <v>853</v>
      </c>
      <c r="X34" s="50">
        <v>0</v>
      </c>
    </row>
    <row r="35" ht="11.25" hidden="1" customHeight="1">
      <c r="A35" s="901"/>
      <c r="D35" s="409"/>
      <c r="E35" s="905" t="s">
        <v>854</v>
      </c>
      <c r="X35" s="50">
        <v>0</v>
      </c>
    </row>
    <row r="36" s="50" customFormat="1" ht="11.5" customHeight="1">
      <c r="A36" s="124"/>
      <c r="B36" s="57"/>
      <c r="D36" s="409"/>
      <c r="E36" s="905"/>
      <c r="X36" s="50">
        <v>11</v>
      </c>
    </row>
    <row r="37" s="50" customFormat="1" ht="22.5" customHeight="1">
      <c r="A37" s="901" t="s">
        <v>855</v>
      </c>
      <c r="B37" s="57"/>
      <c r="D37" s="218">
        <v>1</v>
      </c>
      <c r="E37" s="330" t="s">
        <v>856</v>
      </c>
      <c r="F37" s="146" t="s">
        <v>811</v>
      </c>
      <c r="G37" s="784"/>
      <c r="H37" s="906"/>
      <c r="I37" s="784"/>
      <c r="J37" s="906"/>
      <c r="K37" s="499" t="s">
        <v>857</v>
      </c>
      <c r="X37" s="50">
        <v>0</v>
      </c>
    </row>
    <row r="38" s="50" customFormat="1" ht="22.5" customHeight="1">
      <c r="A38" s="901"/>
      <c r="B38" s="57"/>
      <c r="D38" s="907" t="s">
        <v>110</v>
      </c>
      <c r="E38" s="908" t="s">
        <v>858</v>
      </c>
      <c r="F38" s="909" t="s">
        <v>548</v>
      </c>
      <c r="G38" s="909" t="s">
        <v>548</v>
      </c>
      <c r="H38" s="910"/>
      <c r="I38" s="909" t="s">
        <v>548</v>
      </c>
      <c r="J38" s="910"/>
      <c r="K38" s="569"/>
      <c r="X38" s="50">
        <v>0</v>
      </c>
    </row>
    <row r="39" s="50" customFormat="1" ht="33.75" customHeight="1">
      <c r="A39" s="901"/>
      <c r="B39" s="57"/>
      <c r="D39" s="911" t="s">
        <v>713</v>
      </c>
      <c r="E39" s="912" t="s">
        <v>859</v>
      </c>
      <c r="F39" s="146" t="s">
        <v>860</v>
      </c>
      <c r="G39" s="913"/>
      <c r="H39" s="914"/>
      <c r="I39" s="913"/>
      <c r="J39" s="914"/>
      <c r="K39" s="499" t="s">
        <v>861</v>
      </c>
      <c r="X39" s="50">
        <v>0</v>
      </c>
    </row>
    <row r="40" s="50" customFormat="1" ht="33.75" customHeight="1">
      <c r="A40" s="901"/>
      <c r="B40" s="57"/>
      <c r="D40" s="911" t="s">
        <v>716</v>
      </c>
      <c r="E40" s="912" t="s">
        <v>862</v>
      </c>
      <c r="F40" s="915" t="s">
        <v>863</v>
      </c>
      <c r="G40" s="916"/>
      <c r="H40" s="914"/>
      <c r="I40" s="916"/>
      <c r="J40" s="914"/>
      <c r="K40" s="499" t="s">
        <v>864</v>
      </c>
      <c r="X40" s="50">
        <v>0</v>
      </c>
    </row>
    <row r="41" s="50" customFormat="1" ht="22.5" customHeight="1">
      <c r="A41" s="901"/>
      <c r="B41" s="57"/>
      <c r="D41" s="911" t="s">
        <v>90</v>
      </c>
      <c r="E41" s="917" t="s">
        <v>865</v>
      </c>
      <c r="F41" s="146" t="s">
        <v>548</v>
      </c>
      <c r="G41" s="146" t="s">
        <v>548</v>
      </c>
      <c r="H41" s="918"/>
      <c r="I41" s="146" t="s">
        <v>548</v>
      </c>
      <c r="J41" s="918"/>
      <c r="K41" s="573"/>
      <c r="X41" s="50">
        <v>0</v>
      </c>
    </row>
    <row r="42" s="50" customFormat="1" ht="45" customHeight="1">
      <c r="A42" s="901"/>
      <c r="B42" s="57"/>
      <c r="D42" s="911" t="s">
        <v>326</v>
      </c>
      <c r="E42" s="912" t="s">
        <v>866</v>
      </c>
      <c r="F42" s="146" t="s">
        <v>560</v>
      </c>
      <c r="G42" s="784"/>
      <c r="H42" s="918"/>
      <c r="I42" s="784"/>
      <c r="J42" s="918"/>
      <c r="K42" s="573" t="s">
        <v>867</v>
      </c>
      <c r="X42" s="50">
        <v>0</v>
      </c>
    </row>
    <row r="43" s="50" customFormat="1" ht="45" customHeight="1">
      <c r="A43" s="901"/>
      <c r="B43" s="57"/>
      <c r="D43" s="911" t="s">
        <v>334</v>
      </c>
      <c r="E43" s="919" t="s">
        <v>868</v>
      </c>
      <c r="F43" s="920" t="s">
        <v>560</v>
      </c>
      <c r="G43" s="820"/>
      <c r="H43" s="914"/>
      <c r="I43" s="820"/>
      <c r="J43" s="914"/>
      <c r="K43" s="573" t="s">
        <v>869</v>
      </c>
      <c r="X43" s="50">
        <v>0</v>
      </c>
    </row>
    <row r="44" s="50" customFormat="1" ht="11.25" customHeight="1">
      <c r="A44" s="901"/>
      <c r="B44" s="57"/>
      <c r="D44" s="911" t="s">
        <v>91</v>
      </c>
      <c r="E44" s="921" t="s">
        <v>870</v>
      </c>
      <c r="F44" s="146" t="s">
        <v>860</v>
      </c>
      <c r="G44" s="913"/>
      <c r="H44" s="914"/>
      <c r="I44" s="913"/>
      <c r="J44" s="914"/>
      <c r="K44" s="499"/>
      <c r="X44" s="50">
        <v>0</v>
      </c>
    </row>
    <row r="45" s="50" customFormat="1" ht="11.25" customHeight="1">
      <c r="A45" s="901"/>
      <c r="B45" s="57"/>
      <c r="D45" s="911" t="s">
        <v>755</v>
      </c>
      <c r="E45" s="919" t="s">
        <v>871</v>
      </c>
      <c r="F45" s="146" t="s">
        <v>860</v>
      </c>
      <c r="G45" s="913"/>
      <c r="H45" s="914"/>
      <c r="I45" s="913"/>
      <c r="J45" s="914"/>
      <c r="K45" s="499"/>
      <c r="X45" s="50">
        <v>0</v>
      </c>
    </row>
    <row r="46" s="50" customFormat="1" ht="11.25" customHeight="1">
      <c r="A46" s="901"/>
      <c r="B46" s="57"/>
      <c r="D46" s="911" t="s">
        <v>797</v>
      </c>
      <c r="E46" s="919" t="s">
        <v>872</v>
      </c>
      <c r="F46" s="146" t="s">
        <v>860</v>
      </c>
      <c r="G46" s="913"/>
      <c r="H46" s="914"/>
      <c r="I46" s="913"/>
      <c r="J46" s="914"/>
      <c r="K46" s="499"/>
      <c r="X46" s="50">
        <v>0</v>
      </c>
    </row>
    <row r="47" s="50" customFormat="1" ht="11.25" customHeight="1">
      <c r="A47" s="901"/>
      <c r="B47" s="57"/>
      <c r="D47" s="911" t="s">
        <v>800</v>
      </c>
      <c r="E47" s="919" t="s">
        <v>873</v>
      </c>
      <c r="F47" s="146" t="s">
        <v>860</v>
      </c>
      <c r="G47" s="913"/>
      <c r="H47" s="914"/>
      <c r="I47" s="913"/>
      <c r="J47" s="914"/>
      <c r="K47" s="499"/>
      <c r="X47" s="50">
        <v>0</v>
      </c>
    </row>
    <row r="48" s="50" customFormat="1" ht="11.25" customHeight="1">
      <c r="A48" s="901"/>
      <c r="B48" s="57"/>
      <c r="D48" s="911" t="s">
        <v>874</v>
      </c>
      <c r="E48" s="922" t="s">
        <v>875</v>
      </c>
      <c r="F48" s="146" t="s">
        <v>860</v>
      </c>
      <c r="G48" s="913"/>
      <c r="H48" s="914"/>
      <c r="I48" s="913"/>
      <c r="J48" s="914"/>
      <c r="K48" s="499"/>
      <c r="X48" s="50">
        <v>0</v>
      </c>
    </row>
    <row r="49" s="50" customFormat="1" ht="11.25" customHeight="1">
      <c r="A49" s="901"/>
      <c r="B49" s="57"/>
      <c r="D49" s="911" t="s">
        <v>876</v>
      </c>
      <c r="E49" s="922" t="s">
        <v>877</v>
      </c>
      <c r="F49" s="146" t="s">
        <v>860</v>
      </c>
      <c r="G49" s="913"/>
      <c r="H49" s="914"/>
      <c r="I49" s="913"/>
      <c r="J49" s="914"/>
      <c r="K49" s="499"/>
      <c r="X49" s="50">
        <v>0</v>
      </c>
    </row>
    <row r="50" s="50" customFormat="1" ht="11.25" customHeight="1">
      <c r="A50" s="901"/>
      <c r="B50" s="57"/>
      <c r="D50" s="911" t="s">
        <v>878</v>
      </c>
      <c r="E50" s="919" t="s">
        <v>879</v>
      </c>
      <c r="F50" s="146" t="s">
        <v>860</v>
      </c>
      <c r="G50" s="913"/>
      <c r="H50" s="914"/>
      <c r="I50" s="913"/>
      <c r="J50" s="914"/>
      <c r="K50" s="499"/>
      <c r="X50" s="50">
        <v>0</v>
      </c>
    </row>
    <row r="51" s="50" customFormat="1" ht="11.25" customHeight="1">
      <c r="A51" s="901"/>
      <c r="B51" s="57"/>
      <c r="D51" s="911" t="s">
        <v>880</v>
      </c>
      <c r="E51" s="919" t="s">
        <v>881</v>
      </c>
      <c r="F51" s="146" t="s">
        <v>860</v>
      </c>
      <c r="G51" s="913"/>
      <c r="H51" s="914"/>
      <c r="I51" s="913"/>
      <c r="J51" s="914"/>
      <c r="K51" s="499"/>
      <c r="X51" s="50">
        <v>0</v>
      </c>
    </row>
    <row r="52" s="50" customFormat="1" ht="45" customHeight="1">
      <c r="A52" s="901"/>
      <c r="B52" s="57"/>
      <c r="D52" s="911" t="s">
        <v>111</v>
      </c>
      <c r="E52" s="921" t="s">
        <v>882</v>
      </c>
      <c r="F52" s="146" t="s">
        <v>860</v>
      </c>
      <c r="G52" s="913"/>
      <c r="H52" s="914"/>
      <c r="I52" s="913"/>
      <c r="J52" s="914"/>
      <c r="K52" s="499"/>
      <c r="X52" s="50">
        <v>0</v>
      </c>
    </row>
    <row r="53" s="50" customFormat="1" ht="11.25" customHeight="1">
      <c r="A53" s="901"/>
      <c r="B53" s="57"/>
      <c r="D53" s="911" t="s">
        <v>315</v>
      </c>
      <c r="E53" s="919" t="s">
        <v>871</v>
      </c>
      <c r="F53" s="146" t="s">
        <v>860</v>
      </c>
      <c r="G53" s="913"/>
      <c r="H53" s="914"/>
      <c r="I53" s="913"/>
      <c r="J53" s="914"/>
      <c r="K53" s="499"/>
      <c r="X53" s="50">
        <v>0</v>
      </c>
    </row>
    <row r="54" s="50" customFormat="1" ht="11.25" customHeight="1">
      <c r="A54" s="901"/>
      <c r="B54" s="57"/>
      <c r="D54" s="911" t="s">
        <v>883</v>
      </c>
      <c r="E54" s="919" t="s">
        <v>872</v>
      </c>
      <c r="F54" s="146" t="s">
        <v>860</v>
      </c>
      <c r="G54" s="913"/>
      <c r="H54" s="914"/>
      <c r="I54" s="913"/>
      <c r="J54" s="914"/>
      <c r="K54" s="499"/>
      <c r="X54" s="50">
        <v>0</v>
      </c>
    </row>
    <row r="55" s="50" customFormat="1" ht="11.25" customHeight="1">
      <c r="A55" s="901"/>
      <c r="B55" s="57"/>
      <c r="D55" s="911" t="s">
        <v>884</v>
      </c>
      <c r="E55" s="919" t="s">
        <v>873</v>
      </c>
      <c r="F55" s="146" t="s">
        <v>860</v>
      </c>
      <c r="G55" s="913"/>
      <c r="H55" s="914"/>
      <c r="I55" s="913"/>
      <c r="J55" s="914"/>
      <c r="K55" s="499"/>
      <c r="X55" s="50">
        <v>0</v>
      </c>
    </row>
    <row r="56" s="50" customFormat="1" ht="11.25" customHeight="1">
      <c r="A56" s="901"/>
      <c r="B56" s="57"/>
      <c r="D56" s="911" t="s">
        <v>885</v>
      </c>
      <c r="E56" s="922" t="s">
        <v>875</v>
      </c>
      <c r="F56" s="146" t="s">
        <v>860</v>
      </c>
      <c r="G56" s="913"/>
      <c r="H56" s="914"/>
      <c r="I56" s="913"/>
      <c r="J56" s="914"/>
      <c r="K56" s="499"/>
      <c r="X56" s="50">
        <v>0</v>
      </c>
    </row>
    <row r="57" s="50" customFormat="1" ht="11.25" customHeight="1">
      <c r="A57" s="901"/>
      <c r="B57" s="57"/>
      <c r="D57" s="911" t="s">
        <v>886</v>
      </c>
      <c r="E57" s="922" t="s">
        <v>877</v>
      </c>
      <c r="F57" s="146" t="s">
        <v>860</v>
      </c>
      <c r="G57" s="913"/>
      <c r="H57" s="914"/>
      <c r="I57" s="913"/>
      <c r="J57" s="914"/>
      <c r="K57" s="499"/>
      <c r="X57" s="50">
        <v>0</v>
      </c>
    </row>
    <row r="58" s="50" customFormat="1" ht="11.25" customHeight="1">
      <c r="A58" s="901"/>
      <c r="B58" s="57"/>
      <c r="D58" s="911" t="s">
        <v>887</v>
      </c>
      <c r="E58" s="919" t="s">
        <v>879</v>
      </c>
      <c r="F58" s="146" t="s">
        <v>860</v>
      </c>
      <c r="G58" s="913"/>
      <c r="H58" s="914"/>
      <c r="I58" s="913"/>
      <c r="J58" s="914"/>
      <c r="K58" s="499"/>
      <c r="X58" s="50">
        <v>0</v>
      </c>
    </row>
    <row r="59" s="50" customFormat="1" ht="11.25" customHeight="1">
      <c r="A59" s="901"/>
      <c r="B59" s="57"/>
      <c r="D59" s="911" t="s">
        <v>888</v>
      </c>
      <c r="E59" s="919" t="s">
        <v>881</v>
      </c>
      <c r="F59" s="146" t="s">
        <v>860</v>
      </c>
      <c r="G59" s="913"/>
      <c r="H59" s="914"/>
      <c r="I59" s="913"/>
      <c r="J59" s="914"/>
      <c r="K59" s="499"/>
      <c r="X59" s="50">
        <v>0</v>
      </c>
    </row>
    <row r="60" s="50" customFormat="1" ht="33.75" customHeight="1">
      <c r="A60" s="901"/>
      <c r="B60" s="57"/>
      <c r="D60" s="911" t="s">
        <v>92</v>
      </c>
      <c r="E60" s="921" t="s">
        <v>889</v>
      </c>
      <c r="F60" s="923" t="s">
        <v>560</v>
      </c>
      <c r="G60" s="820"/>
      <c r="H60" s="914"/>
      <c r="I60" s="820"/>
      <c r="J60" s="914"/>
      <c r="K60" s="573" t="s">
        <v>890</v>
      </c>
      <c r="X60" s="50">
        <v>0</v>
      </c>
    </row>
    <row r="61" s="50" customFormat="1" ht="33.75" customHeight="1">
      <c r="A61" s="901"/>
      <c r="B61" s="57"/>
      <c r="D61" s="911" t="s">
        <v>93</v>
      </c>
      <c r="E61" s="921" t="s">
        <v>891</v>
      </c>
      <c r="F61" s="924" t="s">
        <v>821</v>
      </c>
      <c r="G61" s="913"/>
      <c r="H61" s="914"/>
      <c r="I61" s="913"/>
      <c r="J61" s="914"/>
      <c r="K61" s="499"/>
      <c r="X61" s="50">
        <v>0</v>
      </c>
    </row>
    <row r="62" s="50" customFormat="1" ht="22.5" customHeight="1">
      <c r="A62" s="901"/>
      <c r="B62" s="57" t="s">
        <v>590</v>
      </c>
      <c r="D62" s="911" t="s">
        <v>112</v>
      </c>
      <c r="E62" s="921" t="s">
        <v>892</v>
      </c>
      <c r="F62" s="924" t="s">
        <v>308</v>
      </c>
      <c r="G62" s="484"/>
      <c r="H62" s="914"/>
      <c r="I62" s="484"/>
      <c r="J62" s="914"/>
      <c r="K62" s="499" t="s">
        <v>633</v>
      </c>
      <c r="X62" s="50">
        <v>0</v>
      </c>
    </row>
    <row r="63" s="50" customFormat="1" ht="45" customHeight="1">
      <c r="A63" s="901"/>
      <c r="B63" s="57" t="s">
        <v>590</v>
      </c>
      <c r="D63" s="911" t="s">
        <v>893</v>
      </c>
      <c r="E63" s="919" t="s">
        <v>894</v>
      </c>
      <c r="F63" s="923" t="s">
        <v>308</v>
      </c>
      <c r="G63" s="484"/>
      <c r="H63" s="914"/>
      <c r="I63" s="484"/>
      <c r="J63" s="914"/>
      <c r="K63" s="499" t="s">
        <v>633</v>
      </c>
      <c r="X63" s="50">
        <v>0</v>
      </c>
    </row>
    <row r="64" s="50" customFormat="1" ht="11.5" customHeight="1">
      <c r="A64" s="124"/>
      <c r="B64" s="57"/>
      <c r="D64" s="409"/>
      <c r="E64" s="905"/>
      <c r="X64" s="50">
        <v>11</v>
      </c>
    </row>
    <row r="65" s="50" customFormat="1" ht="22.5" hidden="1" customHeight="1">
      <c r="A65" s="901" t="s">
        <v>895</v>
      </c>
      <c r="B65" s="57"/>
      <c r="D65" s="911">
        <v>1</v>
      </c>
      <c r="E65" s="925" t="s">
        <v>896</v>
      </c>
      <c r="F65" s="926" t="s">
        <v>811</v>
      </c>
      <c r="G65" s="916"/>
      <c r="H65" s="927"/>
      <c r="I65" s="916"/>
      <c r="J65" s="927"/>
      <c r="K65" s="563" t="s">
        <v>897</v>
      </c>
      <c r="X65" s="50">
        <v>0</v>
      </c>
    </row>
    <row r="66" s="50" customFormat="1" ht="56.25" hidden="1" customHeight="1">
      <c r="A66" s="901"/>
      <c r="B66" s="57"/>
      <c r="D66" s="928" t="s">
        <v>110</v>
      </c>
      <c r="E66" s="330" t="s">
        <v>898</v>
      </c>
      <c r="F66" s="146" t="s">
        <v>548</v>
      </c>
      <c r="G66" s="146" t="s">
        <v>548</v>
      </c>
      <c r="H66" s="906"/>
      <c r="I66" s="146" t="s">
        <v>548</v>
      </c>
      <c r="J66" s="906"/>
      <c r="K66" s="499"/>
      <c r="X66" s="50">
        <v>0</v>
      </c>
    </row>
    <row r="67" s="50" customFormat="1" ht="33.75" hidden="1" customHeight="1">
      <c r="A67" s="901"/>
      <c r="B67" s="57"/>
      <c r="D67" s="928" t="s">
        <v>710</v>
      </c>
      <c r="E67" s="686" t="s">
        <v>899</v>
      </c>
      <c r="F67" s="146" t="s">
        <v>863</v>
      </c>
      <c r="G67" s="873"/>
      <c r="H67" s="906"/>
      <c r="I67" s="873"/>
      <c r="J67" s="906"/>
      <c r="K67" s="499"/>
      <c r="X67" s="50">
        <v>0</v>
      </c>
    </row>
    <row r="68" s="50" customFormat="1" ht="22.5" hidden="1" customHeight="1">
      <c r="A68" s="901"/>
      <c r="B68" s="57"/>
      <c r="D68" s="928" t="s">
        <v>309</v>
      </c>
      <c r="E68" s="686" t="s">
        <v>900</v>
      </c>
      <c r="F68" s="146" t="s">
        <v>863</v>
      </c>
      <c r="G68" s="873"/>
      <c r="H68" s="906"/>
      <c r="I68" s="873"/>
      <c r="J68" s="906"/>
      <c r="K68" s="499"/>
      <c r="X68" s="50">
        <v>0</v>
      </c>
    </row>
    <row r="69" s="50" customFormat="1" ht="22.5" hidden="1" customHeight="1">
      <c r="A69" s="901"/>
      <c r="B69" s="57"/>
      <c r="D69" s="928" t="s">
        <v>312</v>
      </c>
      <c r="E69" s="686" t="s">
        <v>901</v>
      </c>
      <c r="F69" s="923" t="s">
        <v>560</v>
      </c>
      <c r="G69" s="820"/>
      <c r="H69" s="906"/>
      <c r="I69" s="820"/>
      <c r="J69" s="906"/>
      <c r="K69" s="499"/>
      <c r="X69" s="50">
        <v>0</v>
      </c>
    </row>
    <row r="70" s="50" customFormat="1" ht="22.5" hidden="1" customHeight="1">
      <c r="A70" s="901"/>
      <c r="B70" s="57"/>
      <c r="D70" s="928" t="s">
        <v>730</v>
      </c>
      <c r="E70" s="686" t="s">
        <v>902</v>
      </c>
      <c r="F70" s="923" t="s">
        <v>560</v>
      </c>
      <c r="G70" s="820"/>
      <c r="H70" s="906"/>
      <c r="I70" s="820"/>
      <c r="J70" s="906"/>
      <c r="K70" s="499"/>
      <c r="X70" s="50">
        <v>0</v>
      </c>
    </row>
    <row r="71" s="50" customFormat="1" ht="22.5" hidden="1" customHeight="1">
      <c r="A71" s="901"/>
      <c r="B71" s="57"/>
      <c r="D71" s="911" t="s">
        <v>90</v>
      </c>
      <c r="E71" s="921" t="s">
        <v>903</v>
      </c>
      <c r="F71" s="146" t="s">
        <v>863</v>
      </c>
      <c r="G71" s="784"/>
      <c r="H71" s="910"/>
      <c r="I71" s="784"/>
      <c r="J71" s="910"/>
      <c r="K71" s="573"/>
      <c r="X71" s="50">
        <v>0</v>
      </c>
    </row>
    <row r="72" s="50" customFormat="1" ht="56.25" hidden="1" customHeight="1">
      <c r="A72" s="901"/>
      <c r="B72" s="57"/>
      <c r="D72" s="911" t="s">
        <v>91</v>
      </c>
      <c r="E72" s="921" t="s">
        <v>904</v>
      </c>
      <c r="F72" s="923" t="s">
        <v>560</v>
      </c>
      <c r="G72" s="820"/>
      <c r="H72" s="914"/>
      <c r="I72" s="820"/>
      <c r="J72" s="914"/>
      <c r="K72" s="573"/>
      <c r="X72" s="50">
        <v>0</v>
      </c>
    </row>
    <row r="73" s="50" customFormat="1" ht="33.75" hidden="1" customHeight="1">
      <c r="A73" s="901"/>
      <c r="B73" s="57"/>
      <c r="D73" s="911" t="s">
        <v>111</v>
      </c>
      <c r="E73" s="921" t="s">
        <v>905</v>
      </c>
      <c r="F73" s="924" t="s">
        <v>821</v>
      </c>
      <c r="G73" s="913"/>
      <c r="H73" s="914"/>
      <c r="I73" s="913"/>
      <c r="J73" s="914"/>
      <c r="K73" s="499"/>
      <c r="X73" s="50">
        <v>0</v>
      </c>
    </row>
    <row r="74" s="50" customFormat="1" ht="22.5" hidden="1" customHeight="1">
      <c r="A74" s="901"/>
      <c r="B74" s="57" t="s">
        <v>590</v>
      </c>
      <c r="D74" s="911" t="s">
        <v>92</v>
      </c>
      <c r="E74" s="921" t="s">
        <v>906</v>
      </c>
      <c r="F74" s="924" t="s">
        <v>308</v>
      </c>
      <c r="G74" s="484"/>
      <c r="H74" s="914"/>
      <c r="I74" s="484"/>
      <c r="J74" s="914"/>
      <c r="K74" s="499" t="s">
        <v>633</v>
      </c>
      <c r="X74" s="50">
        <v>0</v>
      </c>
    </row>
    <row r="75" s="50" customFormat="1" ht="45" hidden="1" customHeight="1">
      <c r="A75" s="901"/>
      <c r="B75" s="57" t="s">
        <v>590</v>
      </c>
      <c r="D75" s="911" t="s">
        <v>654</v>
      </c>
      <c r="E75" s="919" t="s">
        <v>907</v>
      </c>
      <c r="F75" s="923" t="s">
        <v>308</v>
      </c>
      <c r="G75" s="484"/>
      <c r="H75" s="914"/>
      <c r="I75" s="484"/>
      <c r="J75" s="914"/>
      <c r="K75" s="499" t="s">
        <v>633</v>
      </c>
      <c r="X75" s="50">
        <v>0</v>
      </c>
    </row>
    <row r="76" s="50" customFormat="1" ht="11.5" customHeight="1">
      <c r="A76" s="124"/>
      <c r="B76" s="57"/>
      <c r="D76" s="409"/>
      <c r="E76" s="905"/>
      <c r="X76" s="50">
        <v>11</v>
      </c>
    </row>
    <row r="77" s="50" customFormat="1" ht="11.25" hidden="1" customHeight="1">
      <c r="A77" s="901" t="s">
        <v>908</v>
      </c>
      <c r="B77" s="57"/>
      <c r="D77" s="911">
        <v>1</v>
      </c>
      <c r="E77" s="921" t="s">
        <v>909</v>
      </c>
      <c r="F77" s="923" t="s">
        <v>811</v>
      </c>
      <c r="G77" s="929"/>
      <c r="H77" s="914"/>
      <c r="I77" s="929"/>
      <c r="J77" s="914"/>
      <c r="K77" s="499" t="s">
        <v>910</v>
      </c>
      <c r="X77" s="50">
        <v>0</v>
      </c>
    </row>
    <row r="78" s="50" customFormat="1" ht="11.25" hidden="1" customHeight="1">
      <c r="A78" s="901"/>
      <c r="B78" s="57"/>
      <c r="D78" s="911" t="s">
        <v>110</v>
      </c>
      <c r="E78" s="921" t="s">
        <v>911</v>
      </c>
      <c r="F78" s="923" t="s">
        <v>811</v>
      </c>
      <c r="G78" s="929"/>
      <c r="H78" s="914"/>
      <c r="I78" s="929"/>
      <c r="J78" s="914"/>
      <c r="K78" s="499" t="s">
        <v>912</v>
      </c>
      <c r="X78" s="50">
        <v>0</v>
      </c>
    </row>
    <row r="79" s="50" customFormat="1" ht="22.5" hidden="1" customHeight="1">
      <c r="A79" s="901"/>
      <c r="B79" s="57"/>
      <c r="D79" s="911" t="s">
        <v>90</v>
      </c>
      <c r="E79" s="917" t="s">
        <v>913</v>
      </c>
      <c r="F79" s="146" t="s">
        <v>860</v>
      </c>
      <c r="G79" s="929"/>
      <c r="H79" s="914"/>
      <c r="I79" s="929"/>
      <c r="J79" s="914"/>
      <c r="K79" s="499" t="s">
        <v>914</v>
      </c>
      <c r="X79" s="50">
        <v>0</v>
      </c>
    </row>
    <row r="80" s="50" customFormat="1" ht="11.25" hidden="1" customHeight="1">
      <c r="A80" s="901"/>
      <c r="B80" s="57"/>
      <c r="D80" s="911" t="s">
        <v>326</v>
      </c>
      <c r="E80" s="912" t="s">
        <v>915</v>
      </c>
      <c r="F80" s="146" t="s">
        <v>860</v>
      </c>
      <c r="G80" s="929"/>
      <c r="H80" s="914"/>
      <c r="I80" s="929"/>
      <c r="J80" s="914"/>
      <c r="K80" s="499"/>
      <c r="X80" s="50">
        <v>0</v>
      </c>
    </row>
    <row r="81" s="50" customFormat="1" ht="11.25" hidden="1" customHeight="1">
      <c r="A81" s="901"/>
      <c r="B81" s="57"/>
      <c r="D81" s="911" t="s">
        <v>334</v>
      </c>
      <c r="E81" s="912" t="s">
        <v>916</v>
      </c>
      <c r="F81" s="146" t="s">
        <v>860</v>
      </c>
      <c r="G81" s="929"/>
      <c r="H81" s="914"/>
      <c r="I81" s="929"/>
      <c r="J81" s="914"/>
      <c r="K81" s="499"/>
      <c r="X81" s="50">
        <v>0</v>
      </c>
    </row>
    <row r="82" s="50" customFormat="1" ht="11.25" hidden="1" customHeight="1">
      <c r="A82" s="901"/>
      <c r="B82" s="57"/>
      <c r="D82" s="911" t="s">
        <v>336</v>
      </c>
      <c r="E82" s="912" t="s">
        <v>917</v>
      </c>
      <c r="F82" s="146" t="s">
        <v>860</v>
      </c>
      <c r="G82" s="929"/>
      <c r="H82" s="914"/>
      <c r="I82" s="929"/>
      <c r="J82" s="914"/>
      <c r="K82" s="499"/>
      <c r="X82" s="50">
        <v>0</v>
      </c>
    </row>
    <row r="83" s="50" customFormat="1" ht="11.25" hidden="1" customHeight="1">
      <c r="A83" s="901"/>
      <c r="B83" s="57"/>
      <c r="D83" s="911" t="s">
        <v>338</v>
      </c>
      <c r="E83" s="912" t="s">
        <v>918</v>
      </c>
      <c r="F83" s="146" t="s">
        <v>860</v>
      </c>
      <c r="G83" s="929"/>
      <c r="H83" s="914"/>
      <c r="I83" s="929"/>
      <c r="J83" s="914"/>
      <c r="K83" s="499"/>
      <c r="X83" s="50">
        <v>0</v>
      </c>
    </row>
    <row r="84" s="50" customFormat="1" ht="11.25" hidden="1" customHeight="1">
      <c r="A84" s="901"/>
      <c r="B84" s="57"/>
      <c r="D84" s="911" t="s">
        <v>919</v>
      </c>
      <c r="E84" s="912" t="s">
        <v>920</v>
      </c>
      <c r="F84" s="146" t="s">
        <v>860</v>
      </c>
      <c r="G84" s="929"/>
      <c r="H84" s="914"/>
      <c r="I84" s="929"/>
      <c r="J84" s="914"/>
      <c r="K84" s="499"/>
      <c r="X84" s="50">
        <v>0</v>
      </c>
    </row>
    <row r="85" s="50" customFormat="1" ht="11.25" hidden="1" customHeight="1">
      <c r="A85" s="901"/>
      <c r="B85" s="57"/>
      <c r="D85" s="911" t="s">
        <v>921</v>
      </c>
      <c r="E85" s="912" t="s">
        <v>922</v>
      </c>
      <c r="F85" s="146" t="s">
        <v>860</v>
      </c>
      <c r="G85" s="929"/>
      <c r="H85" s="914"/>
      <c r="I85" s="929"/>
      <c r="J85" s="914"/>
      <c r="K85" s="499"/>
      <c r="X85" s="50">
        <v>0</v>
      </c>
    </row>
    <row r="86" s="50" customFormat="1" ht="11.25" hidden="1" customHeight="1">
      <c r="A86" s="901"/>
      <c r="B86" s="57"/>
      <c r="D86" s="911" t="s">
        <v>923</v>
      </c>
      <c r="E86" s="912" t="s">
        <v>924</v>
      </c>
      <c r="F86" s="146" t="s">
        <v>860</v>
      </c>
      <c r="G86" s="929"/>
      <c r="H86" s="914"/>
      <c r="I86" s="929"/>
      <c r="J86" s="914"/>
      <c r="K86" s="499"/>
      <c r="X86" s="50">
        <v>0</v>
      </c>
    </row>
    <row r="87" s="50" customFormat="1" ht="45" hidden="1" customHeight="1">
      <c r="A87" s="901"/>
      <c r="B87" s="57"/>
      <c r="D87" s="911" t="s">
        <v>91</v>
      </c>
      <c r="E87" s="921" t="s">
        <v>925</v>
      </c>
      <c r="F87" s="146" t="s">
        <v>860</v>
      </c>
      <c r="G87" s="929"/>
      <c r="H87" s="914"/>
      <c r="I87" s="929"/>
      <c r="J87" s="914"/>
      <c r="K87" s="499" t="s">
        <v>926</v>
      </c>
      <c r="X87" s="50">
        <v>0</v>
      </c>
    </row>
    <row r="88" s="50" customFormat="1" ht="11.25" hidden="1" customHeight="1">
      <c r="A88" s="901"/>
      <c r="B88" s="57"/>
      <c r="D88" s="911" t="s">
        <v>755</v>
      </c>
      <c r="E88" s="912" t="s">
        <v>915</v>
      </c>
      <c r="F88" s="146" t="s">
        <v>860</v>
      </c>
      <c r="G88" s="929"/>
      <c r="H88" s="914"/>
      <c r="I88" s="929"/>
      <c r="J88" s="914"/>
      <c r="K88" s="499"/>
      <c r="X88" s="50">
        <v>0</v>
      </c>
    </row>
    <row r="89" s="50" customFormat="1" ht="11.25" hidden="1" customHeight="1">
      <c r="A89" s="901"/>
      <c r="B89" s="57"/>
      <c r="D89" s="911" t="s">
        <v>797</v>
      </c>
      <c r="E89" s="912" t="s">
        <v>916</v>
      </c>
      <c r="F89" s="146" t="s">
        <v>860</v>
      </c>
      <c r="G89" s="929"/>
      <c r="H89" s="914"/>
      <c r="I89" s="929"/>
      <c r="J89" s="914"/>
      <c r="K89" s="499"/>
      <c r="X89" s="50">
        <v>0</v>
      </c>
    </row>
    <row r="90" s="50" customFormat="1" ht="11.25" hidden="1" customHeight="1">
      <c r="A90" s="901"/>
      <c r="B90" s="57"/>
      <c r="D90" s="911" t="s">
        <v>800</v>
      </c>
      <c r="E90" s="912" t="s">
        <v>917</v>
      </c>
      <c r="F90" s="146" t="s">
        <v>860</v>
      </c>
      <c r="G90" s="929"/>
      <c r="H90" s="914"/>
      <c r="I90" s="929"/>
      <c r="J90" s="914"/>
      <c r="K90" s="499"/>
      <c r="X90" s="50">
        <v>0</v>
      </c>
    </row>
    <row r="91" s="50" customFormat="1" ht="11.25" hidden="1" customHeight="1">
      <c r="A91" s="901"/>
      <c r="B91" s="57"/>
      <c r="D91" s="911" t="s">
        <v>878</v>
      </c>
      <c r="E91" s="912" t="s">
        <v>918</v>
      </c>
      <c r="F91" s="146" t="s">
        <v>860</v>
      </c>
      <c r="G91" s="929"/>
      <c r="H91" s="914"/>
      <c r="I91" s="929"/>
      <c r="J91" s="914"/>
      <c r="K91" s="499"/>
      <c r="X91" s="50">
        <v>0</v>
      </c>
    </row>
    <row r="92" s="50" customFormat="1" ht="11.25" hidden="1" customHeight="1">
      <c r="A92" s="901"/>
      <c r="B92" s="57"/>
      <c r="D92" s="911" t="s">
        <v>880</v>
      </c>
      <c r="E92" s="912" t="s">
        <v>920</v>
      </c>
      <c r="F92" s="146" t="s">
        <v>860</v>
      </c>
      <c r="G92" s="929"/>
      <c r="H92" s="914"/>
      <c r="I92" s="929"/>
      <c r="J92" s="914"/>
      <c r="K92" s="499"/>
      <c r="X92" s="50">
        <v>0</v>
      </c>
    </row>
    <row r="93" s="50" customFormat="1" ht="11.25" hidden="1" customHeight="1">
      <c r="A93" s="901"/>
      <c r="B93" s="57"/>
      <c r="D93" s="911" t="s">
        <v>927</v>
      </c>
      <c r="E93" s="912" t="s">
        <v>922</v>
      </c>
      <c r="F93" s="146" t="s">
        <v>860</v>
      </c>
      <c r="G93" s="929"/>
      <c r="H93" s="914"/>
      <c r="I93" s="929"/>
      <c r="J93" s="914"/>
      <c r="K93" s="499"/>
      <c r="X93" s="50">
        <v>0</v>
      </c>
    </row>
    <row r="94" s="50" customFormat="1" ht="11.25" hidden="1" customHeight="1">
      <c r="A94" s="901"/>
      <c r="B94" s="57"/>
      <c r="D94" s="911" t="s">
        <v>928</v>
      </c>
      <c r="E94" s="912" t="s">
        <v>924</v>
      </c>
      <c r="F94" s="146" t="s">
        <v>860</v>
      </c>
      <c r="G94" s="929"/>
      <c r="H94" s="914"/>
      <c r="I94" s="929"/>
      <c r="J94" s="914"/>
      <c r="K94" s="499"/>
      <c r="X94" s="50">
        <v>0</v>
      </c>
    </row>
    <row r="95" s="50" customFormat="1" ht="24.75" hidden="1" customHeight="1">
      <c r="A95" s="901"/>
      <c r="B95" s="57"/>
      <c r="D95" s="911" t="s">
        <v>111</v>
      </c>
      <c r="E95" s="921" t="s">
        <v>929</v>
      </c>
      <c r="F95" s="930" t="s">
        <v>560</v>
      </c>
      <c r="G95" s="873"/>
      <c r="H95" s="914"/>
      <c r="I95" s="873"/>
      <c r="J95" s="914"/>
      <c r="K95" s="499" t="s">
        <v>930</v>
      </c>
      <c r="X95" s="50">
        <v>0</v>
      </c>
    </row>
    <row r="96" s="50" customFormat="1" ht="33.75" hidden="1" customHeight="1">
      <c r="A96" s="901"/>
      <c r="B96" s="57"/>
      <c r="D96" s="911" t="s">
        <v>92</v>
      </c>
      <c r="E96" s="921" t="s">
        <v>931</v>
      </c>
      <c r="F96" s="924" t="s">
        <v>821</v>
      </c>
      <c r="G96" s="931"/>
      <c r="H96" s="914"/>
      <c r="I96" s="931"/>
      <c r="J96" s="914"/>
      <c r="K96" s="499"/>
      <c r="X96" s="50">
        <v>0</v>
      </c>
    </row>
    <row r="97" s="50" customFormat="1" ht="22.5" hidden="1" customHeight="1">
      <c r="A97" s="901"/>
      <c r="B97" s="57" t="s">
        <v>590</v>
      </c>
      <c r="D97" s="911" t="s">
        <v>93</v>
      </c>
      <c r="E97" s="921" t="s">
        <v>932</v>
      </c>
      <c r="F97" s="924" t="s">
        <v>308</v>
      </c>
      <c r="G97" s="876"/>
      <c r="H97" s="914"/>
      <c r="I97" s="876"/>
      <c r="J97" s="914"/>
      <c r="K97" s="499" t="s">
        <v>633</v>
      </c>
      <c r="X97" s="50">
        <v>0</v>
      </c>
    </row>
    <row r="98" s="50" customFormat="1" ht="45" hidden="1" customHeight="1">
      <c r="A98" s="901"/>
      <c r="B98" s="57" t="s">
        <v>590</v>
      </c>
      <c r="D98" s="911" t="s">
        <v>933</v>
      </c>
      <c r="E98" s="919" t="s">
        <v>934</v>
      </c>
      <c r="F98" s="923" t="s">
        <v>308</v>
      </c>
      <c r="G98" s="876"/>
      <c r="H98" s="914"/>
      <c r="I98" s="876"/>
      <c r="J98" s="914"/>
      <c r="K98" s="499" t="s">
        <v>633</v>
      </c>
      <c r="X98" s="50">
        <v>0</v>
      </c>
    </row>
    <row r="99" s="50" customFormat="1" ht="95.25" hidden="1" customHeight="1">
      <c r="A99" s="901"/>
      <c r="B99" s="57" t="s">
        <v>590</v>
      </c>
      <c r="D99" s="911" t="s">
        <v>112</v>
      </c>
      <c r="E99" s="921" t="s">
        <v>935</v>
      </c>
      <c r="F99" s="923" t="s">
        <v>308</v>
      </c>
      <c r="G99" s="876"/>
      <c r="H99" s="914"/>
      <c r="I99" s="876"/>
      <c r="J99" s="914"/>
      <c r="K99" s="499" t="s">
        <v>633</v>
      </c>
      <c r="X99" s="50">
        <v>0</v>
      </c>
    </row>
    <row r="100" s="50" customFormat="1" ht="22.5" hidden="1" customHeight="1">
      <c r="A100" s="901"/>
      <c r="B100" s="57" t="s">
        <v>590</v>
      </c>
      <c r="D100" s="911" t="s">
        <v>99</v>
      </c>
      <c r="E100" s="921" t="s">
        <v>936</v>
      </c>
      <c r="F100" s="923" t="s">
        <v>308</v>
      </c>
      <c r="G100" s="876"/>
      <c r="H100" s="914"/>
      <c r="I100" s="876"/>
      <c r="J100" s="914"/>
      <c r="K100" s="499" t="s">
        <v>633</v>
      </c>
      <c r="X100" s="50">
        <v>0</v>
      </c>
    </row>
    <row r="101" s="50" customFormat="1" ht="11.5" customHeight="1">
      <c r="A101" s="124"/>
      <c r="B101" s="57"/>
      <c r="D101" s="409"/>
      <c r="E101" s="905"/>
      <c r="X101" s="50">
        <v>11</v>
      </c>
    </row>
    <row r="102" ht="22.5" hidden="1" customHeight="1">
      <c r="A102" s="124" t="s">
        <v>82</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0" deleteRows="0" formatCells="1" formatColumns="0" formatRows="0" insertColumns="1" insertHyperlinks="1" insertRows="0" pivotTables="1" selectLockedCells="0" selectUnlockedCells="0" sheet="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D3007F-00C8-4B6D-8CC1-00D30073000D}"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 xr:uid="{0051005F-0045-4BB4-9F08-00570037007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DB000C-0009-433C-8938-00840075006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F8002C-00D4-45EB-948A-0015005500C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3D0088-00A5-4FC8-AE56-002500FF0047}"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8C00E2-00BA-4C25-BDAC-005B00DF00DC}"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4" width="6.421875"/>
    <col customWidth="1" hidden="1" min="2" max="2" style="184" width="2.00390625"/>
    <col customWidth="1" min="3" max="3" style="184" width="3.00390625"/>
    <col customWidth="1" min="4" max="4" style="184" width="4.00390625"/>
    <col customWidth="1" min="5" max="5" style="184" width="44.00390625"/>
    <col customWidth="1" min="6" max="6" style="184" width="6.421875"/>
    <col customWidth="1" min="7" max="7" style="184" width="4.00390625"/>
    <col customWidth="1" min="8" max="8" style="184" width="5.00390625"/>
    <col customWidth="1" min="9" max="9" style="184" width="52.00390625"/>
    <col customWidth="1" min="10" max="10" style="184" width="7.00390625"/>
    <col customWidth="1" min="11" max="11" style="184" width="3.00390625"/>
    <col customWidth="1" min="12" max="12" style="184" width="6.00390625"/>
    <col customWidth="1" min="13" max="13" style="184" width="56.00390625"/>
    <col customWidth="1" min="14" max="14" style="151" width="8.00390625"/>
    <col hidden="1" min="15" max="20" style="129" width="9.140625"/>
    <col hidden="1" min="21" max="24" style="106" width="9.140625"/>
    <col hidden="1" min="25" max="37" style="151" width="9.140625"/>
    <col customWidth="1" min="38" max="38" style="151" width="8.00390625"/>
    <col hidden="1" min="39" max="39" style="184" width="9.140625"/>
  </cols>
  <sheetData>
    <row r="1" ht="11.25" hidden="1" customHeight="1">
      <c r="AM1" s="184" t="s">
        <v>14</v>
      </c>
    </row>
    <row r="2" ht="11.25" hidden="1" customHeight="1">
      <c r="AM2" s="184">
        <v>0</v>
      </c>
    </row>
    <row r="3" ht="11.5" customHeight="1">
      <c r="AM3" s="184">
        <v>11</v>
      </c>
    </row>
    <row r="4" ht="35.649999999999999" customHeight="1">
      <c r="A4" s="106"/>
      <c r="B4" s="106"/>
      <c r="D4" s="185" t="str">
        <f>Титульный!E5</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86"/>
      <c r="F4" s="186"/>
      <c r="G4" s="186"/>
      <c r="H4" s="186"/>
      <c r="I4" s="187"/>
      <c r="J4" s="151"/>
      <c r="K4" s="151"/>
      <c r="L4" s="151"/>
      <c r="M4" s="151"/>
      <c r="AM4" s="184">
        <v>34</v>
      </c>
    </row>
    <row r="5" s="188" customFormat="1" ht="14.65" customHeight="1">
      <c r="A5" s="106"/>
      <c r="B5" s="106"/>
      <c r="C5" s="106"/>
      <c r="D5" s="189" t="str">
        <f>IF(org=0,"Не определено",org)</f>
        <v xml:space="preserve">филиал Пермская ГРЭС АО "Интер РАО - Электрогенерация"</v>
      </c>
      <c r="E5" s="190"/>
      <c r="F5" s="190"/>
      <c r="G5" s="190"/>
      <c r="H5" s="190"/>
      <c r="I5" s="191"/>
      <c r="J5" s="192"/>
      <c r="K5" s="192"/>
      <c r="L5" s="192"/>
      <c r="M5" s="192"/>
      <c r="N5" s="192"/>
      <c r="O5" s="193"/>
      <c r="P5" s="193"/>
      <c r="Q5" s="193"/>
      <c r="R5" s="193"/>
      <c r="S5" s="193"/>
      <c r="T5" s="193"/>
      <c r="U5" s="194"/>
      <c r="V5" s="194"/>
      <c r="W5" s="194"/>
      <c r="X5" s="194"/>
      <c r="Y5" s="192"/>
      <c r="Z5" s="192"/>
      <c r="AA5" s="192"/>
      <c r="AB5" s="192"/>
      <c r="AC5" s="192"/>
      <c r="AD5" s="192"/>
      <c r="AE5" s="192"/>
      <c r="AF5" s="192"/>
      <c r="AG5" s="192"/>
      <c r="AH5" s="192"/>
      <c r="AI5" s="192"/>
      <c r="AJ5" s="192"/>
      <c r="AK5" s="192"/>
      <c r="AL5" s="192"/>
      <c r="AM5" s="188">
        <v>14</v>
      </c>
    </row>
    <row r="6" s="188" customFormat="1" ht="6.2999999999999998" customHeight="1">
      <c r="A6" s="51"/>
      <c r="B6" s="51"/>
      <c r="C6" s="51"/>
      <c r="D6" s="51"/>
      <c r="E6" s="51"/>
      <c r="F6" s="51"/>
      <c r="G6" s="50"/>
      <c r="H6" s="50"/>
      <c r="I6" s="50"/>
      <c r="J6" s="50"/>
      <c r="K6" s="50"/>
      <c r="N6" s="192"/>
      <c r="O6" s="193"/>
      <c r="P6" s="193"/>
      <c r="Q6" s="193"/>
      <c r="R6" s="193"/>
      <c r="S6" s="193"/>
      <c r="T6" s="193"/>
      <c r="U6" s="194"/>
      <c r="V6" s="194"/>
      <c r="W6" s="194"/>
      <c r="X6" s="194"/>
      <c r="Y6" s="192"/>
      <c r="Z6" s="192"/>
      <c r="AA6" s="192"/>
      <c r="AB6" s="192"/>
      <c r="AC6" s="192"/>
      <c r="AD6" s="192"/>
      <c r="AE6" s="192"/>
      <c r="AF6" s="192"/>
      <c r="AG6" s="192"/>
      <c r="AH6" s="192"/>
      <c r="AI6" s="192"/>
      <c r="AJ6" s="192"/>
      <c r="AK6" s="192"/>
      <c r="AL6" s="192"/>
      <c r="AM6" s="188">
        <v>6</v>
      </c>
    </row>
    <row r="7" ht="45.75" hidden="1" customHeight="1">
      <c r="E7" s="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6"/>
      <c r="G7" s="196"/>
      <c r="H7" s="196"/>
      <c r="I7" s="196"/>
      <c r="J7" s="196"/>
      <c r="K7" s="196"/>
      <c r="L7" s="196"/>
      <c r="M7" s="196"/>
      <c r="AM7" s="184">
        <v>0</v>
      </c>
    </row>
    <row r="8" s="188" customFormat="1" ht="6.2999999999999998" customHeight="1">
      <c r="A8" s="197"/>
      <c r="B8" s="197"/>
      <c r="C8" s="197"/>
      <c r="D8" s="197"/>
      <c r="E8" s="197"/>
      <c r="F8" s="197"/>
      <c r="G8" s="197"/>
      <c r="H8" s="197"/>
      <c r="I8" s="197"/>
      <c r="J8" s="197"/>
      <c r="K8" s="197"/>
      <c r="L8" s="197"/>
      <c r="M8" s="188"/>
      <c r="N8" s="192"/>
      <c r="O8" s="193"/>
      <c r="P8" s="193"/>
      <c r="Q8" s="193"/>
      <c r="R8" s="193"/>
      <c r="S8" s="193"/>
      <c r="T8" s="193"/>
      <c r="U8" s="194"/>
      <c r="V8" s="194"/>
      <c r="W8" s="194"/>
      <c r="X8" s="194"/>
      <c r="Y8" s="192"/>
      <c r="Z8" s="192"/>
      <c r="AA8" s="192"/>
      <c r="AB8" s="192"/>
      <c r="AC8" s="192"/>
      <c r="AD8" s="192"/>
      <c r="AE8" s="192"/>
      <c r="AF8" s="192"/>
      <c r="AG8" s="192"/>
      <c r="AH8" s="192"/>
      <c r="AI8" s="192"/>
      <c r="AJ8" s="192"/>
      <c r="AK8" s="192"/>
      <c r="AL8" s="192"/>
      <c r="AM8" s="188">
        <v>6</v>
      </c>
    </row>
    <row r="9" ht="18.75" customHeight="1">
      <c r="A9" s="198"/>
      <c r="B9" s="50"/>
      <c r="C9" s="50"/>
      <c r="D9" s="157" t="s">
        <v>105</v>
      </c>
      <c r="E9" s="157"/>
      <c r="F9" s="199" t="s">
        <v>106</v>
      </c>
      <c r="G9" s="200"/>
      <c r="H9" s="200"/>
      <c r="I9" s="200"/>
      <c r="J9" s="201" t="s">
        <v>107</v>
      </c>
      <c r="K9" s="201"/>
      <c r="L9" s="201"/>
      <c r="M9" s="201"/>
      <c r="AM9" s="184">
        <v>18</v>
      </c>
    </row>
    <row r="10" ht="24" customHeight="1">
      <c r="A10" s="198"/>
      <c r="B10" s="51"/>
      <c r="C10" s="202"/>
      <c r="D10" s="157" t="s">
        <v>88</v>
      </c>
      <c r="E10" s="157" t="s">
        <v>89</v>
      </c>
      <c r="F10" s="157" t="s">
        <v>108</v>
      </c>
      <c r="G10" s="203" t="s">
        <v>88</v>
      </c>
      <c r="H10" s="204"/>
      <c r="I10" s="157" t="s">
        <v>89</v>
      </c>
      <c r="J10" s="157" t="s">
        <v>108</v>
      </c>
      <c r="K10" s="203" t="s">
        <v>88</v>
      </c>
      <c r="L10" s="204"/>
      <c r="M10" s="157" t="s">
        <v>89</v>
      </c>
      <c r="N10" s="205"/>
      <c r="AM10" s="184">
        <v>23</v>
      </c>
    </row>
    <row r="11" s="184" customFormat="1" ht="11.25" hidden="1" customHeight="1">
      <c r="A11" s="206"/>
      <c r="B11" s="206"/>
      <c r="C11" s="206"/>
      <c r="D11" s="207" t="s">
        <v>109</v>
      </c>
      <c r="E11" s="207" t="s">
        <v>110</v>
      </c>
      <c r="F11" s="207" t="s">
        <v>90</v>
      </c>
      <c r="G11" s="208" t="s">
        <v>91</v>
      </c>
      <c r="H11" s="209"/>
      <c r="I11" s="207" t="s">
        <v>111</v>
      </c>
      <c r="J11" s="207" t="s">
        <v>92</v>
      </c>
      <c r="K11" s="210" t="s">
        <v>93</v>
      </c>
      <c r="L11" s="211"/>
      <c r="M11" s="207" t="s">
        <v>112</v>
      </c>
      <c r="N11" s="205"/>
      <c r="O11" s="129"/>
      <c r="P11" s="129"/>
      <c r="Q11" s="129"/>
      <c r="R11" s="129"/>
      <c r="S11" s="129"/>
      <c r="T11" s="129"/>
      <c r="U11" s="106"/>
      <c r="V11" s="106"/>
      <c r="W11" s="106"/>
      <c r="X11" s="106"/>
      <c r="Y11" s="151"/>
      <c r="Z11" s="151"/>
      <c r="AA11" s="151"/>
      <c r="AB11" s="151"/>
      <c r="AC11" s="151"/>
      <c r="AD11" s="151"/>
      <c r="AE11" s="151"/>
      <c r="AF11" s="151"/>
      <c r="AG11" s="151"/>
      <c r="AH11" s="151"/>
      <c r="AI11" s="151"/>
      <c r="AJ11" s="151"/>
      <c r="AK11" s="151"/>
      <c r="AL11" s="151"/>
      <c r="AM11" s="184">
        <v>0</v>
      </c>
    </row>
    <row r="12" ht="1.05" customHeight="1">
      <c r="A12" s="212"/>
      <c r="B12" s="51"/>
      <c r="C12" s="51"/>
      <c r="D12" s="213"/>
      <c r="E12" s="214"/>
      <c r="F12" s="214"/>
      <c r="G12" s="215"/>
      <c r="H12" s="215"/>
      <c r="I12" s="214"/>
      <c r="J12" s="214"/>
      <c r="K12" s="216"/>
      <c r="L12" s="214"/>
      <c r="M12" s="217"/>
      <c r="N12" s="205"/>
      <c r="O12" s="129" t="s">
        <v>113</v>
      </c>
      <c r="P12" s="129" t="s">
        <v>114</v>
      </c>
      <c r="Q12" s="129" t="s">
        <v>115</v>
      </c>
      <c r="R12" s="129" t="s">
        <v>116</v>
      </c>
      <c r="AM12" s="184">
        <v>1</v>
      </c>
    </row>
    <row r="13" s="184" customFormat="1" ht="15.75" customHeight="1">
      <c r="A13" s="63"/>
      <c r="B13" s="63"/>
      <c r="C13" s="128"/>
      <c r="D13" s="218" t="s">
        <v>109</v>
      </c>
      <c r="E13" s="219"/>
      <c r="F13" s="220" t="s">
        <v>66</v>
      </c>
      <c r="G13" s="221"/>
      <c r="H13" s="222">
        <v>1</v>
      </c>
      <c r="I13" s="223" t="str">
        <f>IF(U13="","",INDEX(TERRITORY_MR_LIST,MATCH(U13,TERRITORY_LIST_ID,0)))</f>
        <v/>
      </c>
      <c r="J13" s="224" t="s">
        <v>19</v>
      </c>
      <c r="K13" s="225"/>
      <c r="L13" s="218" t="s">
        <v>109</v>
      </c>
      <c r="M13" s="226" t="s">
        <v>28</v>
      </c>
      <c r="N13" s="205"/>
      <c r="O13" s="129" t="s">
        <v>117</v>
      </c>
      <c r="P13" s="129">
        <f>$E$13</f>
        <v>0</v>
      </c>
      <c r="Q13" s="129" t="str">
        <f>IF($F$13="нет","без дифференциации",$I$13)</f>
        <v/>
      </c>
      <c r="R13" s="129" t="str">
        <f>IF($J$13="нет","без дифференциации",M13)</f>
        <v xml:space="preserve">без дифференциации</v>
      </c>
      <c r="S13" s="129"/>
      <c r="T13" s="129"/>
      <c r="U13" s="106"/>
      <c r="V13" s="106"/>
      <c r="W13" s="106"/>
      <c r="X13" s="106"/>
      <c r="Y13" s="151" t="s">
        <v>118</v>
      </c>
      <c r="Z13" s="151">
        <v>1705000</v>
      </c>
      <c r="AA13" s="151"/>
      <c r="AB13" s="151"/>
      <c r="AC13" s="151"/>
      <c r="AD13" s="151"/>
      <c r="AE13" s="151"/>
      <c r="AF13" s="151"/>
      <c r="AG13" s="151"/>
      <c r="AH13" s="151"/>
      <c r="AI13" s="151"/>
      <c r="AJ13" s="151"/>
      <c r="AK13" s="151"/>
      <c r="AL13" s="151"/>
      <c r="AM13" s="184">
        <v>15</v>
      </c>
    </row>
    <row r="14" s="184" customFormat="1" ht="15.75" customHeight="1">
      <c r="A14" s="63"/>
      <c r="B14" s="63"/>
      <c r="C14" s="149"/>
      <c r="D14" s="218"/>
      <c r="E14" s="227"/>
      <c r="F14" s="224"/>
      <c r="G14" s="221"/>
      <c r="H14" s="222"/>
      <c r="I14" s="228"/>
      <c r="J14" s="224"/>
      <c r="K14" s="170"/>
      <c r="L14" s="171"/>
      <c r="M14" s="229" t="s">
        <v>119</v>
      </c>
      <c r="N14" s="205"/>
      <c r="O14" s="129"/>
      <c r="P14" s="129"/>
      <c r="Q14" s="129"/>
      <c r="R14" s="129"/>
      <c r="S14" s="129"/>
      <c r="T14" s="129"/>
      <c r="U14" s="106"/>
      <c r="V14" s="106"/>
      <c r="W14" s="106"/>
      <c r="X14" s="106"/>
      <c r="Y14" s="151"/>
      <c r="Z14" s="151"/>
      <c r="AA14" s="151"/>
      <c r="AB14" s="151"/>
      <c r="AC14" s="151"/>
      <c r="AD14" s="151"/>
      <c r="AE14" s="151"/>
      <c r="AF14" s="151"/>
      <c r="AG14" s="151"/>
      <c r="AH14" s="151"/>
      <c r="AI14" s="151"/>
      <c r="AJ14" s="151"/>
      <c r="AK14" s="151"/>
      <c r="AL14" s="151"/>
      <c r="AM14" s="184">
        <v>15</v>
      </c>
    </row>
    <row r="15" s="184" customFormat="1" ht="15.75" customHeight="1">
      <c r="A15" s="63"/>
      <c r="B15" s="63"/>
      <c r="C15" s="149"/>
      <c r="D15" s="218"/>
      <c r="E15" s="230"/>
      <c r="F15" s="224"/>
      <c r="G15" s="231"/>
      <c r="H15" s="232"/>
      <c r="I15" s="172" t="s">
        <v>120</v>
      </c>
      <c r="J15" s="171"/>
      <c r="K15" s="171"/>
      <c r="L15" s="171"/>
      <c r="M15" s="233"/>
      <c r="N15" s="205"/>
      <c r="O15" s="129"/>
      <c r="P15" s="129"/>
      <c r="Q15" s="129"/>
      <c r="R15" s="129"/>
      <c r="S15" s="129"/>
      <c r="T15" s="129"/>
      <c r="U15" s="106"/>
      <c r="V15" s="106"/>
      <c r="W15" s="106"/>
      <c r="X15" s="106"/>
      <c r="Y15" s="151"/>
      <c r="Z15" s="151"/>
      <c r="AA15" s="151"/>
      <c r="AB15" s="151"/>
      <c r="AC15" s="151"/>
      <c r="AD15" s="151"/>
      <c r="AE15" s="151"/>
      <c r="AF15" s="151"/>
      <c r="AG15" s="151"/>
      <c r="AH15" s="151"/>
      <c r="AI15" s="151"/>
      <c r="AJ15" s="151"/>
      <c r="AK15" s="151"/>
      <c r="AL15" s="151"/>
      <c r="AM15" s="184">
        <v>15</v>
      </c>
    </row>
    <row r="16" ht="15.75" customHeight="1">
      <c r="A16" s="234"/>
      <c r="B16" s="60"/>
      <c r="C16" s="125"/>
      <c r="D16" s="170"/>
      <c r="E16" s="235" t="s">
        <v>121</v>
      </c>
      <c r="F16" s="171"/>
      <c r="G16" s="171"/>
      <c r="H16" s="171"/>
      <c r="I16" s="171"/>
      <c r="J16" s="171"/>
      <c r="K16" s="171" t="s">
        <v>28</v>
      </c>
      <c r="L16" s="171"/>
      <c r="M16" s="233"/>
      <c r="N16" s="205"/>
      <c r="AM16" s="184">
        <v>15</v>
      </c>
    </row>
    <row r="17" ht="11.25" hidden="1" customHeight="1">
      <c r="A17" s="184" t="s">
        <v>82</v>
      </c>
      <c r="B17" s="184">
        <v>0</v>
      </c>
      <c r="C17" s="184">
        <v>3</v>
      </c>
      <c r="D17" s="184">
        <v>4</v>
      </c>
      <c r="E17" s="184">
        <v>44</v>
      </c>
      <c r="F17" s="184">
        <v>6</v>
      </c>
      <c r="G17" s="184">
        <v>4</v>
      </c>
      <c r="H17" s="184">
        <v>5</v>
      </c>
      <c r="I17" s="184">
        <v>52</v>
      </c>
      <c r="J17" s="184">
        <v>6</v>
      </c>
      <c r="K17" s="184">
        <v>3</v>
      </c>
      <c r="L17" s="184">
        <v>6</v>
      </c>
      <c r="M17" s="184">
        <v>56</v>
      </c>
      <c r="N17" s="151">
        <v>8</v>
      </c>
      <c r="O17" s="129">
        <v>0</v>
      </c>
      <c r="P17" s="129">
        <v>0</v>
      </c>
      <c r="Q17" s="129">
        <v>0</v>
      </c>
      <c r="R17" s="129">
        <v>0</v>
      </c>
      <c r="S17" s="129">
        <v>0</v>
      </c>
      <c r="T17" s="129">
        <v>0</v>
      </c>
      <c r="U17" s="106">
        <v>0</v>
      </c>
      <c r="V17" s="106">
        <v>0</v>
      </c>
      <c r="W17" s="106">
        <v>0</v>
      </c>
      <c r="X17" s="106">
        <v>0</v>
      </c>
      <c r="Y17" s="151">
        <v>0</v>
      </c>
      <c r="Z17" s="151">
        <v>0</v>
      </c>
      <c r="AA17" s="151">
        <v>0</v>
      </c>
      <c r="AB17" s="151">
        <v>0</v>
      </c>
      <c r="AC17" s="151">
        <v>0</v>
      </c>
      <c r="AD17" s="151">
        <v>0</v>
      </c>
      <c r="AE17" s="151">
        <v>0</v>
      </c>
      <c r="AF17" s="151">
        <v>0</v>
      </c>
      <c r="AG17" s="151">
        <v>0</v>
      </c>
      <c r="AH17" s="151">
        <v>0</v>
      </c>
      <c r="AI17" s="151">
        <v>0</v>
      </c>
      <c r="AJ17" s="151">
        <v>0</v>
      </c>
      <c r="AK17" s="151">
        <v>0</v>
      </c>
      <c r="AL17" s="151">
        <v>8</v>
      </c>
      <c r="AM17" s="184">
        <v>11</v>
      </c>
    </row>
  </sheetData>
  <sheetProtection autoFilter="0" deleteColumns="0" deleteRows="0" formatCells="1" formatColumns="0" formatRows="0" insertColumns="1" insertHyperlinks="1" insertRows="0" pivotTables="1" selectLockedCells="0" selectUnlockedCells="0" sheet="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D400B5-004D-4BF8-885F-00DF00CB0074}"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6"/>
      <c r="V1" s="53" t="s">
        <v>14</v>
      </c>
    </row>
    <row r="2" s="53" customFormat="1" ht="15" hidden="1" customHeight="1">
      <c r="C2" s="113"/>
      <c r="U2" s="166"/>
      <c r="V2" s="53">
        <v>0</v>
      </c>
    </row>
    <row r="3" ht="22.5" hidden="1" customHeight="1">
      <c r="A3" s="50"/>
      <c r="B3" s="60"/>
      <c r="C3" s="932" t="s">
        <v>496</v>
      </c>
      <c r="D3" s="933" t="str">
        <f>B3&amp;".1"</f>
        <v>.1</v>
      </c>
      <c r="E3" s="394" t="s">
        <v>937</v>
      </c>
      <c r="F3" s="72" t="s">
        <v>308</v>
      </c>
      <c r="G3" s="692"/>
      <c r="H3" s="815"/>
      <c r="I3" s="692"/>
      <c r="J3" s="815"/>
      <c r="K3" s="499" t="s">
        <v>938</v>
      </c>
      <c r="V3" s="50">
        <v>0</v>
      </c>
    </row>
    <row r="4" ht="15" hidden="1" customHeight="1">
      <c r="A4" s="50"/>
      <c r="B4" s="60"/>
      <c r="C4" s="932"/>
      <c r="D4" s="933" t="str">
        <f>B3&amp;".2"</f>
        <v>.2</v>
      </c>
      <c r="E4" s="394" t="s">
        <v>939</v>
      </c>
      <c r="F4" s="72" t="s">
        <v>308</v>
      </c>
      <c r="G4" s="934" t="s">
        <v>28</v>
      </c>
      <c r="H4" s="815"/>
      <c r="I4" s="934" t="s">
        <v>28</v>
      </c>
      <c r="J4" s="815"/>
      <c r="K4" s="499" t="s">
        <v>940</v>
      </c>
      <c r="V4" s="50">
        <v>0</v>
      </c>
    </row>
    <row r="5" s="53" customFormat="1" ht="15" hidden="1" customHeight="1">
      <c r="C5" s="113"/>
      <c r="U5" s="166"/>
      <c r="V5" s="53">
        <v>0</v>
      </c>
    </row>
    <row r="6" ht="22.5" hidden="1" customHeight="1">
      <c r="A6" s="50"/>
      <c r="B6" s="60"/>
      <c r="C6" s="932" t="s">
        <v>496</v>
      </c>
      <c r="D6" s="933" t="str">
        <f>B6&amp;".1"</f>
        <v>.1</v>
      </c>
      <c r="E6" s="394" t="s">
        <v>941</v>
      </c>
      <c r="F6" s="72" t="s">
        <v>308</v>
      </c>
      <c r="G6" s="692"/>
      <c r="H6" s="815"/>
      <c r="I6" s="692"/>
      <c r="J6" s="815"/>
      <c r="K6" s="499" t="s">
        <v>942</v>
      </c>
      <c r="V6" s="50">
        <v>0</v>
      </c>
    </row>
    <row r="7" ht="15" hidden="1" customHeight="1">
      <c r="A7" s="50"/>
      <c r="B7" s="60"/>
      <c r="C7" s="932"/>
      <c r="D7" s="933" t="str">
        <f>B6&amp;".2"</f>
        <v>.2</v>
      </c>
      <c r="E7" s="394" t="s">
        <v>939</v>
      </c>
      <c r="F7" s="72" t="s">
        <v>308</v>
      </c>
      <c r="G7" s="934" t="s">
        <v>28</v>
      </c>
      <c r="H7" s="815"/>
      <c r="I7" s="934" t="s">
        <v>28</v>
      </c>
      <c r="J7" s="815"/>
      <c r="K7" s="499" t="s">
        <v>940</v>
      </c>
      <c r="V7" s="50">
        <v>0</v>
      </c>
    </row>
    <row r="8" s="53" customFormat="1" ht="15" hidden="1" customHeight="1">
      <c r="C8" s="113"/>
      <c r="U8" s="166"/>
      <c r="V8" s="53">
        <v>0</v>
      </c>
    </row>
    <row r="9" ht="22.5" hidden="1" customHeight="1">
      <c r="A9" s="50"/>
      <c r="B9" s="60"/>
      <c r="C9" s="932" t="s">
        <v>496</v>
      </c>
      <c r="D9" s="933" t="str">
        <f>B9&amp;".1"</f>
        <v>.1</v>
      </c>
      <c r="E9" s="394" t="s">
        <v>943</v>
      </c>
      <c r="F9" s="72" t="s">
        <v>308</v>
      </c>
      <c r="G9" s="398" t="s">
        <v>28</v>
      </c>
      <c r="H9" s="815" t="s">
        <v>28</v>
      </c>
      <c r="I9" s="398" t="s">
        <v>28</v>
      </c>
      <c r="J9" s="815" t="s">
        <v>28</v>
      </c>
      <c r="K9" s="499"/>
      <c r="V9" s="50">
        <v>0</v>
      </c>
    </row>
    <row r="10" ht="15" hidden="1" customHeight="1">
      <c r="A10" s="50"/>
      <c r="B10" s="60"/>
      <c r="C10" s="932"/>
      <c r="D10" s="933" t="str">
        <f>B9&amp;".2"</f>
        <v>.2</v>
      </c>
      <c r="E10" s="394" t="s">
        <v>944</v>
      </c>
      <c r="F10" s="72" t="s">
        <v>308</v>
      </c>
      <c r="G10" s="89" t="s">
        <v>28</v>
      </c>
      <c r="H10" s="815" t="s">
        <v>28</v>
      </c>
      <c r="I10" s="89" t="s">
        <v>28</v>
      </c>
      <c r="J10" s="815" t="s">
        <v>28</v>
      </c>
      <c r="K10" s="499" t="s">
        <v>945</v>
      </c>
      <c r="V10" s="50">
        <v>0</v>
      </c>
    </row>
    <row r="11" ht="15" hidden="1" customHeight="1">
      <c r="A11" s="50"/>
      <c r="B11" s="60"/>
      <c r="C11" s="932"/>
      <c r="D11" s="933" t="str">
        <f>B9&amp;".3"</f>
        <v>.3</v>
      </c>
      <c r="E11" s="394" t="s">
        <v>946</v>
      </c>
      <c r="F11" s="72" t="s">
        <v>308</v>
      </c>
      <c r="G11" s="89" t="s">
        <v>28</v>
      </c>
      <c r="H11" s="815" t="s">
        <v>28</v>
      </c>
      <c r="I11" s="89" t="s">
        <v>28</v>
      </c>
      <c r="J11" s="815" t="s">
        <v>28</v>
      </c>
      <c r="K11" s="499" t="s">
        <v>947</v>
      </c>
      <c r="V11" s="50">
        <v>0</v>
      </c>
    </row>
    <row r="12" s="53" customFormat="1" ht="15" hidden="1" customHeight="1">
      <c r="C12" s="113"/>
      <c r="U12" s="166"/>
      <c r="V12" s="53">
        <v>0</v>
      </c>
    </row>
    <row r="13" ht="33.75" hidden="1" customHeight="1">
      <c r="A13" s="50"/>
      <c r="B13" s="60"/>
      <c r="C13" s="932" t="s">
        <v>496</v>
      </c>
      <c r="D13" s="933" t="str">
        <f>B13&amp;".1"</f>
        <v>.1</v>
      </c>
      <c r="E13" s="394" t="s">
        <v>948</v>
      </c>
      <c r="F13" s="72" t="s">
        <v>308</v>
      </c>
      <c r="G13" s="398" t="s">
        <v>28</v>
      </c>
      <c r="H13" s="815" t="s">
        <v>28</v>
      </c>
      <c r="I13" s="398" t="s">
        <v>28</v>
      </c>
      <c r="J13" s="815" t="s">
        <v>28</v>
      </c>
      <c r="K13" s="499" t="s">
        <v>949</v>
      </c>
      <c r="V13" s="50">
        <v>0</v>
      </c>
    </row>
    <row r="14" ht="15" hidden="1" customHeight="1">
      <c r="B14" s="60"/>
      <c r="C14" s="932"/>
      <c r="D14" s="933" t="str">
        <f>B13&amp;".2"</f>
        <v>.2</v>
      </c>
      <c r="E14" s="394" t="s">
        <v>950</v>
      </c>
      <c r="F14" s="72" t="s">
        <v>308</v>
      </c>
      <c r="G14" s="89" t="s">
        <v>28</v>
      </c>
      <c r="H14" s="815" t="s">
        <v>28</v>
      </c>
      <c r="I14" s="89" t="s">
        <v>28</v>
      </c>
      <c r="J14" s="815" t="s">
        <v>28</v>
      </c>
      <c r="K14" s="499" t="s">
        <v>951</v>
      </c>
      <c r="V14" s="50">
        <v>0</v>
      </c>
    </row>
    <row r="15" s="53" customFormat="1" ht="15" hidden="1" customHeight="1">
      <c r="C15" s="113"/>
      <c r="U15" s="166"/>
      <c r="V15" s="53">
        <v>0</v>
      </c>
    </row>
    <row r="16" s="53" customFormat="1" ht="15" hidden="1" customHeight="1">
      <c r="C16" s="113"/>
      <c r="U16" s="166"/>
      <c r="V16" s="53">
        <v>0</v>
      </c>
    </row>
    <row r="17" s="53" customFormat="1" ht="15" hidden="1" customHeight="1">
      <c r="C17" s="113"/>
      <c r="U17" s="166"/>
      <c r="V17" s="53">
        <v>0</v>
      </c>
    </row>
    <row r="18" s="53" customFormat="1" ht="15" hidden="1" customHeight="1">
      <c r="C18" s="113"/>
      <c r="U18" s="166"/>
      <c r="V18" s="53">
        <v>0</v>
      </c>
    </row>
    <row r="19" s="53" customFormat="1" ht="15" hidden="1" customHeight="1">
      <c r="C19" s="113"/>
      <c r="U19" s="166"/>
      <c r="V19" s="53">
        <v>0</v>
      </c>
    </row>
    <row r="20" s="53" customFormat="1" ht="15" hidden="1" customHeight="1">
      <c r="C20" s="113"/>
      <c r="U20" s="166"/>
      <c r="V20" s="53">
        <v>0</v>
      </c>
    </row>
    <row r="21" ht="15.75" customHeight="1">
      <c r="C21" s="149"/>
      <c r="D21" s="50"/>
      <c r="E21" s="50"/>
      <c r="F21" s="50"/>
      <c r="G21" s="50"/>
      <c r="H21" s="50"/>
      <c r="I21" s="50"/>
      <c r="J21" s="50"/>
      <c r="V21" s="50">
        <v>15</v>
      </c>
    </row>
    <row r="22" ht="23.25" customHeight="1">
      <c r="C22" s="149"/>
      <c r="D22" s="466"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466"/>
      <c r="F22" s="466"/>
      <c r="G22" s="466"/>
      <c r="H22" s="466"/>
      <c r="I22" s="466"/>
      <c r="J22" s="86"/>
      <c r="K22" s="53"/>
      <c r="V22" s="50">
        <v>22</v>
      </c>
    </row>
    <row r="23" ht="15.75" customHeight="1">
      <c r="C23" s="149"/>
      <c r="D23" s="320" t="str">
        <f>IF(org=0,"Не определено",org)</f>
        <v xml:space="preserve">филиал Пермская ГРЭС АО "Интер РАО - Электрогенерация"</v>
      </c>
      <c r="E23" s="320"/>
      <c r="F23" s="320"/>
      <c r="G23" s="320"/>
      <c r="H23" s="320"/>
      <c r="I23" s="320"/>
      <c r="J23" s="86"/>
      <c r="K23" s="53"/>
      <c r="V23" s="50">
        <v>15</v>
      </c>
    </row>
    <row r="24" ht="15.75" customHeight="1">
      <c r="C24" s="149"/>
      <c r="D24" s="50"/>
      <c r="E24" s="50"/>
      <c r="F24" s="50"/>
      <c r="G24" s="53">
        <v>22</v>
      </c>
      <c r="H24" s="356"/>
      <c r="I24" s="53">
        <v>22</v>
      </c>
      <c r="J24" s="356"/>
      <c r="V24" s="50">
        <v>15</v>
      </c>
    </row>
    <row r="25" s="50" customFormat="1" ht="1.05" customHeight="1">
      <c r="A25" s="56"/>
      <c r="C25" s="149"/>
      <c r="D25" s="50"/>
      <c r="E25" s="50"/>
      <c r="F25" s="50"/>
      <c r="G25" s="53"/>
      <c r="H25" s="356"/>
      <c r="I25" s="53" t="s">
        <v>117</v>
      </c>
      <c r="J25" s="356"/>
      <c r="K25" s="53"/>
      <c r="U25" s="114"/>
      <c r="V25" s="50">
        <v>1</v>
      </c>
    </row>
    <row r="26" ht="15.75" customHeight="1">
      <c r="C26" s="149"/>
      <c r="D26" s="778"/>
      <c r="E26" s="779" t="s">
        <v>105</v>
      </c>
      <c r="F26" s="780"/>
      <c r="G26" s="935" t="str">
        <f>IF(G25="","",INDEX(DIFFERENTIATION_UNMERGE_VD,MATCH(G25,DIFFERENTIATION_ID_DIFF,0)))</f>
        <v/>
      </c>
      <c r="H26" s="936"/>
      <c r="I26" s="935">
        <f>IF(I25="","",INDEX(DIFFERENTIATION_UNMERGE_VD,MATCH(I25,DIFFERENTIATION_ID_DIFF,0)))</f>
        <v>0</v>
      </c>
      <c r="J26" s="936"/>
      <c r="K26" s="324" t="s">
        <v>303</v>
      </c>
      <c r="V26" s="50">
        <v>15</v>
      </c>
    </row>
    <row r="27" s="50" customFormat="1" ht="15.75" customHeight="1">
      <c r="A27" s="56"/>
      <c r="C27" s="149"/>
      <c r="D27" s="778"/>
      <c r="E27" s="779" t="s">
        <v>566</v>
      </c>
      <c r="F27" s="780"/>
      <c r="G27" s="935" t="str">
        <f>IF(G25="","",INDEX(DIFFERENTIATION_UNMERGE_AREA,MATCH(G25,DIFFERENTIATION_ID_DIFF,0)))</f>
        <v/>
      </c>
      <c r="H27" s="936"/>
      <c r="I27" s="935" t="str">
        <f>IF(I25="","",INDEX(DIFFERENTIATION_UNMERGE_AREA,MATCH(I25,DIFFERENTIATION_ID_DIFF,0)))</f>
        <v/>
      </c>
      <c r="J27" s="936"/>
      <c r="K27" s="326"/>
      <c r="U27" s="114"/>
      <c r="V27" s="50">
        <v>15</v>
      </c>
    </row>
    <row r="28" s="50" customFormat="1" ht="15.75" customHeight="1">
      <c r="A28" s="56"/>
      <c r="C28" s="149"/>
      <c r="D28" s="778"/>
      <c r="E28" s="779" t="s">
        <v>567</v>
      </c>
      <c r="F28" s="780"/>
      <c r="G28" s="935" t="str">
        <f>IF(G25="","",INDEX(DIFFERENTIATION_UNMERGE_SYSTEM,MATCH(G25,DIFFERENTIATION_ID_DIFF,0)))</f>
        <v/>
      </c>
      <c r="H28" s="936"/>
      <c r="I28" s="935" t="str">
        <f>IF(I25="","",INDEX(DIFFERENTIATION_UNMERGE_SYSTEM,MATCH(I25,DIFFERENTIATION_ID_DIFF,0)))</f>
        <v xml:space="preserve">без дифференциации</v>
      </c>
      <c r="J28" s="936"/>
      <c r="K28" s="326"/>
      <c r="U28" s="114"/>
      <c r="V28" s="50">
        <v>15</v>
      </c>
    </row>
    <row r="29" s="50" customFormat="1" ht="15.75" customHeight="1">
      <c r="A29" s="56"/>
      <c r="C29" s="149"/>
      <c r="D29" s="782" t="s">
        <v>302</v>
      </c>
      <c r="E29" s="783"/>
      <c r="F29" s="783"/>
      <c r="G29" s="779"/>
      <c r="H29" s="779"/>
      <c r="I29" s="779"/>
      <c r="J29" s="780"/>
      <c r="K29" s="326"/>
      <c r="U29" s="114"/>
      <c r="V29" s="50">
        <v>15</v>
      </c>
    </row>
    <row r="30" ht="35.649999999999999" customHeight="1">
      <c r="C30" s="149"/>
      <c r="D30" s="157" t="s">
        <v>88</v>
      </c>
      <c r="E30" s="157" t="s">
        <v>304</v>
      </c>
      <c r="F30" s="157" t="s">
        <v>568</v>
      </c>
      <c r="G30" s="73" t="s">
        <v>305</v>
      </c>
      <c r="H30" s="157" t="s">
        <v>392</v>
      </c>
      <c r="I30" s="73" t="s">
        <v>305</v>
      </c>
      <c r="J30" s="157" t="s">
        <v>392</v>
      </c>
      <c r="K30" s="328"/>
      <c r="V30" s="50">
        <v>34</v>
      </c>
    </row>
    <row r="31" ht="15" hidden="1" customHeight="1">
      <c r="C31" s="149"/>
      <c r="D31" s="206"/>
      <c r="E31" s="206"/>
      <c r="F31" s="206"/>
      <c r="G31" s="149"/>
      <c r="H31" s="149"/>
      <c r="I31" s="149"/>
      <c r="J31" s="149"/>
      <c r="K31" s="499"/>
      <c r="V31" s="50">
        <v>0</v>
      </c>
    </row>
    <row r="32" ht="24" customHeight="1">
      <c r="A32" s="50"/>
      <c r="B32" s="50" t="s">
        <v>952</v>
      </c>
      <c r="C32" s="128"/>
      <c r="D32" s="937">
        <v>1</v>
      </c>
      <c r="E32" s="898" t="s">
        <v>953</v>
      </c>
      <c r="F32" s="72" t="s">
        <v>308</v>
      </c>
      <c r="G32" s="72" t="s">
        <v>308</v>
      </c>
      <c r="H32" s="72" t="s">
        <v>308</v>
      </c>
      <c r="I32" s="72" t="s">
        <v>308</v>
      </c>
      <c r="J32" s="72" t="s">
        <v>308</v>
      </c>
      <c r="K32" s="499"/>
      <c r="V32" s="50">
        <v>23</v>
      </c>
    </row>
    <row r="33" ht="11.5" customHeight="1">
      <c r="A33" s="50"/>
      <c r="C33" s="50"/>
      <c r="D33" s="888"/>
      <c r="E33" s="172" t="s">
        <v>588</v>
      </c>
      <c r="F33" s="798"/>
      <c r="G33" s="798"/>
      <c r="H33" s="798"/>
      <c r="I33" s="798"/>
      <c r="J33" s="798"/>
      <c r="K33" s="799"/>
      <c r="U33" s="50"/>
      <c r="V33" s="50">
        <v>11</v>
      </c>
    </row>
    <row r="34" ht="24" customHeight="1">
      <c r="A34" s="50"/>
      <c r="B34" s="86" t="s">
        <v>638</v>
      </c>
      <c r="C34" s="128"/>
      <c r="D34" s="937">
        <v>2</v>
      </c>
      <c r="E34" s="898" t="s">
        <v>954</v>
      </c>
      <c r="F34" s="72" t="s">
        <v>308</v>
      </c>
      <c r="G34" s="72" t="s">
        <v>308</v>
      </c>
      <c r="H34" s="72" t="s">
        <v>308</v>
      </c>
      <c r="I34" s="72"/>
      <c r="J34" s="72"/>
      <c r="K34" s="499"/>
      <c r="V34" s="50">
        <v>23</v>
      </c>
    </row>
    <row r="35" ht="11.5" customHeight="1">
      <c r="A35" s="50"/>
      <c r="C35" s="50"/>
      <c r="D35" s="888"/>
      <c r="E35" s="172" t="s">
        <v>955</v>
      </c>
      <c r="F35" s="798"/>
      <c r="G35" s="938"/>
      <c r="H35" s="798"/>
      <c r="I35" s="938"/>
      <c r="J35" s="798"/>
      <c r="K35" s="799"/>
      <c r="U35" s="50"/>
      <c r="V35" s="50">
        <v>11</v>
      </c>
    </row>
    <row r="36" ht="71.25" customHeight="1">
      <c r="A36" s="50"/>
      <c r="B36" s="50" t="s">
        <v>956</v>
      </c>
      <c r="C36" s="128"/>
      <c r="D36" s="937">
        <v>3</v>
      </c>
      <c r="E36" s="898" t="s">
        <v>957</v>
      </c>
      <c r="F36" s="145" t="s">
        <v>308</v>
      </c>
      <c r="G36" s="224" t="s">
        <v>958</v>
      </c>
      <c r="H36" s="72" t="s">
        <v>308</v>
      </c>
      <c r="I36" s="224" t="s">
        <v>958</v>
      </c>
      <c r="J36" s="72" t="s">
        <v>308</v>
      </c>
      <c r="K36" s="499" t="s">
        <v>959</v>
      </c>
      <c r="V36" s="50">
        <v>68</v>
      </c>
    </row>
    <row r="37" ht="11.5" customHeight="1">
      <c r="A37" s="50"/>
      <c r="C37" s="50"/>
      <c r="D37" s="888"/>
      <c r="E37" s="172" t="s">
        <v>960</v>
      </c>
      <c r="F37" s="798"/>
      <c r="G37" s="938"/>
      <c r="H37" s="938"/>
      <c r="I37" s="938"/>
      <c r="J37" s="938"/>
      <c r="K37" s="799"/>
      <c r="U37" s="50"/>
      <c r="V37" s="50">
        <v>11</v>
      </c>
    </row>
    <row r="38" ht="71.25" customHeight="1">
      <c r="A38" s="50"/>
      <c r="B38" s="50" t="s">
        <v>961</v>
      </c>
      <c r="C38" s="128"/>
      <c r="D38" s="937">
        <v>4</v>
      </c>
      <c r="E38" s="898" t="s">
        <v>962</v>
      </c>
      <c r="F38" s="145" t="s">
        <v>308</v>
      </c>
      <c r="G38" s="224" t="s">
        <v>958</v>
      </c>
      <c r="H38" s="157" t="s">
        <v>308</v>
      </c>
      <c r="I38" s="224" t="s">
        <v>958</v>
      </c>
      <c r="J38" s="157" t="s">
        <v>308</v>
      </c>
      <c r="K38" s="939" t="s">
        <v>963</v>
      </c>
      <c r="V38" s="50">
        <v>68</v>
      </c>
    </row>
    <row r="39" ht="11.5" customHeight="1">
      <c r="A39" s="50"/>
      <c r="C39" s="50"/>
      <c r="D39" s="888"/>
      <c r="E39" s="172" t="s">
        <v>964</v>
      </c>
      <c r="F39" s="798"/>
      <c r="G39" s="798"/>
      <c r="H39" s="940"/>
      <c r="I39" s="798"/>
      <c r="J39" s="940"/>
      <c r="K39" s="799"/>
      <c r="U39" s="50"/>
      <c r="V39" s="50">
        <v>11</v>
      </c>
    </row>
    <row r="40" ht="22.5" hidden="1" customHeight="1">
      <c r="A40" s="56" t="s">
        <v>82</v>
      </c>
      <c r="B40" s="50">
        <v>0</v>
      </c>
      <c r="C40" s="149">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4">
        <v>10</v>
      </c>
      <c r="V40" s="50">
        <v>23</v>
      </c>
    </row>
  </sheetData>
  <sheetProtection autoFilter="0" deleteColumns="0" deleteRows="0" formatCells="1" formatColumns="0" formatRows="0" insertColumns="1" insertHyperlinks="1" insertRows="0" pivotTables="1" selectLockedCells="0" selectUnlockedCells="0" sheet="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isablePrompts="0">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F0047-00C5-4C6F-9A6C-00B90066002F}"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 xr:uid="{007800FE-00B1-4330-9AF1-0085005C001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4"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4"/>
      <c r="B1" s="124"/>
      <c r="C1" s="124"/>
      <c r="E1" s="53"/>
      <c r="H1" s="53"/>
      <c r="AE1" s="53" t="s">
        <v>14</v>
      </c>
    </row>
    <row r="2" ht="10.5" hidden="1" customHeight="1">
      <c r="AE2" s="50">
        <v>0</v>
      </c>
    </row>
    <row r="3" s="56" customFormat="1" ht="10.5" hidden="1" customHeight="1">
      <c r="A3" s="124"/>
      <c r="B3" s="124"/>
      <c r="C3" s="124"/>
      <c r="D3" s="53"/>
      <c r="E3" s="56"/>
      <c r="G3" s="56" t="s">
        <v>965</v>
      </c>
      <c r="H3" s="56"/>
      <c r="AE3" s="56">
        <v>0</v>
      </c>
    </row>
    <row r="4" ht="3" customHeight="1">
      <c r="AE4" s="50">
        <v>3</v>
      </c>
    </row>
    <row r="5" ht="27.300000000000001" customHeight="1">
      <c r="F5" s="466" t="str">
        <f>IP_NAME_FORM</f>
        <v xml:space="preserve">Форма 7. Информация об инвестиционных программах организации холодного водоснабжения и отчетах об их исполнении</v>
      </c>
      <c r="G5" s="466"/>
      <c r="H5" s="466"/>
      <c r="I5" s="466"/>
      <c r="J5" s="466"/>
      <c r="K5" s="466"/>
      <c r="M5" s="106"/>
      <c r="AB5" s="50"/>
      <c r="AE5" s="50">
        <v>26</v>
      </c>
    </row>
    <row r="6" s="50" customFormat="1" ht="16.800000000000001" customHeight="1">
      <c r="A6" s="124"/>
      <c r="B6" s="124"/>
      <c r="C6" s="124"/>
      <c r="D6" s="53"/>
      <c r="E6" s="50"/>
      <c r="F6" s="320" t="str">
        <f>IF(org=0,"Не определено",org)</f>
        <v xml:space="preserve">филиал Пермская ГРЭС АО "Интер РАО - Электрогенерация"</v>
      </c>
      <c r="G6" s="320"/>
      <c r="H6" s="320"/>
      <c r="I6" s="320"/>
      <c r="J6" s="320"/>
      <c r="K6" s="320"/>
      <c r="M6" s="106"/>
      <c r="AB6" s="50"/>
      <c r="AE6" s="50">
        <v>16</v>
      </c>
    </row>
    <row r="7" ht="10.5" customHeight="1">
      <c r="AE7" s="50">
        <v>10</v>
      </c>
    </row>
    <row r="8" ht="10.5" customHeight="1">
      <c r="A8" s="124"/>
      <c r="B8" s="124"/>
      <c r="C8" s="124"/>
      <c r="F8" s="73" t="s">
        <v>302</v>
      </c>
      <c r="G8" s="145"/>
      <c r="H8" s="145"/>
      <c r="I8" s="145"/>
      <c r="J8" s="145"/>
      <c r="K8" s="145"/>
      <c r="L8" s="145"/>
      <c r="M8" s="145"/>
      <c r="N8" s="145"/>
      <c r="O8" s="145"/>
      <c r="P8" s="145"/>
      <c r="Q8" s="145"/>
      <c r="R8" s="145"/>
      <c r="S8" s="145"/>
      <c r="T8" s="145"/>
      <c r="U8" s="145"/>
      <c r="V8" s="145"/>
      <c r="W8" s="145"/>
      <c r="X8" s="145"/>
      <c r="Y8" s="145"/>
      <c r="Z8" s="145"/>
      <c r="AA8" s="145"/>
      <c r="AB8" s="72"/>
      <c r="AE8" s="50">
        <v>10</v>
      </c>
    </row>
    <row r="9" ht="43.049999999999997" customHeight="1">
      <c r="A9" s="941"/>
      <c r="B9" s="941"/>
      <c r="C9" s="941"/>
      <c r="F9" s="157" t="s">
        <v>88</v>
      </c>
      <c r="G9" s="157" t="s">
        <v>965</v>
      </c>
      <c r="H9" s="324" t="s">
        <v>966</v>
      </c>
      <c r="I9" s="157" t="s">
        <v>967</v>
      </c>
      <c r="J9" s="157" t="s">
        <v>968</v>
      </c>
      <c r="K9" s="157" t="s">
        <v>969</v>
      </c>
      <c r="L9" s="157" t="s">
        <v>970</v>
      </c>
      <c r="M9" s="157" t="s">
        <v>971</v>
      </c>
      <c r="N9" s="362" t="s">
        <v>972</v>
      </c>
      <c r="O9" s="362"/>
      <c r="P9" s="362"/>
      <c r="Q9" s="564" t="s">
        <v>973</v>
      </c>
      <c r="R9" s="565"/>
      <c r="S9" s="565"/>
      <c r="T9" s="566"/>
      <c r="U9" s="564" t="s">
        <v>974</v>
      </c>
      <c r="V9" s="565"/>
      <c r="W9" s="565"/>
      <c r="X9" s="566"/>
      <c r="Y9" s="73" t="s">
        <v>975</v>
      </c>
      <c r="Z9" s="145"/>
      <c r="AA9" s="145"/>
      <c r="AB9" s="72"/>
      <c r="AE9" s="50">
        <v>41</v>
      </c>
    </row>
    <row r="10" ht="43.049999999999997" customHeight="1">
      <c r="A10" s="941"/>
      <c r="B10" s="941"/>
      <c r="C10" s="941"/>
      <c r="F10" s="324"/>
      <c r="G10" s="324"/>
      <c r="H10" s="162"/>
      <c r="I10" s="324"/>
      <c r="J10" s="324"/>
      <c r="K10" s="324"/>
      <c r="L10" s="324"/>
      <c r="M10" s="324"/>
      <c r="N10" s="942" t="s">
        <v>976</v>
      </c>
      <c r="O10" s="942" t="s">
        <v>977</v>
      </c>
      <c r="P10" s="567" t="s">
        <v>978</v>
      </c>
      <c r="Q10" s="942" t="s">
        <v>89</v>
      </c>
      <c r="R10" s="942" t="s">
        <v>979</v>
      </c>
      <c r="S10" s="942" t="s">
        <v>980</v>
      </c>
      <c r="T10" s="674" t="s">
        <v>981</v>
      </c>
      <c r="U10" s="942" t="s">
        <v>89</v>
      </c>
      <c r="V10" s="942" t="s">
        <v>982</v>
      </c>
      <c r="W10" s="942" t="s">
        <v>980</v>
      </c>
      <c r="X10" s="674" t="s">
        <v>981</v>
      </c>
      <c r="Y10" s="563" t="s">
        <v>983</v>
      </c>
      <c r="Z10" s="73" t="s">
        <v>88</v>
      </c>
      <c r="AA10" s="72"/>
      <c r="AB10" s="157" t="s">
        <v>984</v>
      </c>
      <c r="AE10" s="50">
        <v>41</v>
      </c>
    </row>
    <row r="11" s="57" customFormat="1" ht="5.25" hidden="1" customHeight="1">
      <c r="A11" s="545"/>
      <c r="B11" s="545"/>
      <c r="C11" s="545"/>
      <c r="E11" s="132"/>
      <c r="F11" s="299" t="s">
        <v>378</v>
      </c>
      <c r="G11" s="943"/>
      <c r="H11" s="444"/>
      <c r="I11" s="444"/>
      <c r="J11" s="444"/>
      <c r="K11" s="472"/>
      <c r="L11" s="472"/>
      <c r="M11" s="472"/>
      <c r="N11" s="444"/>
      <c r="O11" s="444"/>
      <c r="P11" s="157"/>
      <c r="Q11" s="330"/>
      <c r="R11" s="330"/>
      <c r="S11" s="330"/>
      <c r="T11" s="444"/>
      <c r="U11" s="330"/>
      <c r="V11" s="330"/>
      <c r="W11" s="330"/>
      <c r="X11" s="444"/>
      <c r="Y11" s="218"/>
      <c r="Z11" s="218"/>
      <c r="AA11" s="218"/>
      <c r="AB11" s="218"/>
      <c r="AD11" s="57" t="s">
        <v>985</v>
      </c>
      <c r="AE11" s="57">
        <v>0</v>
      </c>
    </row>
    <row r="12" s="57" customFormat="1" ht="5.25" hidden="1" customHeight="1">
      <c r="A12" s="545"/>
      <c r="B12" s="545"/>
      <c r="C12" s="545"/>
      <c r="E12" s="57"/>
      <c r="F12" s="299"/>
      <c r="G12" s="943"/>
      <c r="H12" s="444"/>
      <c r="I12" s="444"/>
      <c r="J12" s="444"/>
      <c r="K12" s="472"/>
      <c r="L12" s="472"/>
      <c r="M12" s="472"/>
      <c r="N12" s="444"/>
      <c r="O12" s="444"/>
      <c r="P12" s="157"/>
      <c r="Q12" s="330"/>
      <c r="R12" s="330"/>
      <c r="S12" s="330"/>
      <c r="T12" s="444"/>
      <c r="U12" s="330"/>
      <c r="V12" s="330"/>
      <c r="W12" s="330"/>
      <c r="X12" s="444"/>
      <c r="Y12" s="944"/>
      <c r="Z12" s="944"/>
      <c r="AA12" s="944"/>
      <c r="AB12" s="944"/>
      <c r="AE12" s="57">
        <v>0</v>
      </c>
    </row>
    <row r="13" ht="10.5" customHeight="1">
      <c r="F13" s="655"/>
      <c r="G13" s="172" t="s">
        <v>986</v>
      </c>
      <c r="H13" s="172"/>
      <c r="I13" s="798"/>
      <c r="J13" s="798"/>
      <c r="K13" s="798"/>
      <c r="L13" s="798"/>
      <c r="M13" s="798"/>
      <c r="N13" s="798"/>
      <c r="O13" s="798"/>
      <c r="P13" s="798"/>
      <c r="Q13" s="798"/>
      <c r="R13" s="798"/>
      <c r="S13" s="798"/>
      <c r="T13" s="798"/>
      <c r="U13" s="798"/>
      <c r="V13" s="798"/>
      <c r="W13" s="798"/>
      <c r="X13" s="798"/>
      <c r="Y13" s="798"/>
      <c r="Z13" s="940"/>
      <c r="AA13" s="940"/>
      <c r="AB13" s="945"/>
      <c r="AE13" s="50">
        <v>10</v>
      </c>
    </row>
    <row r="14" ht="10.5" customHeight="1">
      <c r="AE14" s="50">
        <v>10</v>
      </c>
    </row>
    <row r="15" s="57" customFormat="1" ht="10.5" customHeight="1">
      <c r="A15" s="545"/>
      <c r="B15" s="545"/>
      <c r="C15" s="545"/>
      <c r="E15" s="57"/>
      <c r="H15" s="57">
        <f>_xlfn.IFERROR(MATCH("нет",IP_MAIN_DIFFERENTIATION_EVENTS_FLAG,0),0)</f>
        <v>0</v>
      </c>
      <c r="AE15" s="57">
        <v>10</v>
      </c>
    </row>
    <row r="16" ht="10.5" hidden="1" customHeight="1">
      <c r="A16" s="124" t="s">
        <v>82</v>
      </c>
      <c r="B16" s="124">
        <v>0</v>
      </c>
      <c r="C16" s="124">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0" deleteRows="0" formatCells="1" formatColumns="0" formatRows="0" insertColumns="1" insertHyperlinks="1" insertRows="0" pivotTables="1" selectLockedCells="0" selectUnlockedCells="0" sheet="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4"/>
      <c r="B1" s="124"/>
      <c r="C1" s="124"/>
      <c r="E1" s="53"/>
      <c r="H1" s="53"/>
      <c r="L1" s="53"/>
      <c r="M1" s="53"/>
      <c r="AD1" s="53"/>
      <c r="AH1" s="53"/>
      <c r="AI1" s="53"/>
      <c r="BG1" s="53" t="s">
        <v>14</v>
      </c>
    </row>
    <row r="2" ht="10.5" hidden="1" customHeight="1">
      <c r="BG2" s="50">
        <v>0</v>
      </c>
    </row>
    <row r="3" s="56" customFormat="1" ht="10.5" hidden="1" customHeight="1">
      <c r="A3" s="124"/>
      <c r="B3" s="124"/>
      <c r="C3" s="124"/>
      <c r="D3" s="53"/>
      <c r="E3" s="56"/>
      <c r="H3" s="56"/>
      <c r="L3" s="56"/>
      <c r="M3" s="56"/>
      <c r="AD3" s="56"/>
      <c r="AH3" s="56"/>
      <c r="AI3" s="56"/>
      <c r="BG3" s="56">
        <v>0</v>
      </c>
    </row>
    <row r="4" ht="3" customHeight="1">
      <c r="BG4" s="50">
        <v>3</v>
      </c>
    </row>
    <row r="5" ht="27.300000000000001" customHeight="1">
      <c r="F5" s="466" t="str">
        <f>IP_NAME_FORM</f>
        <v xml:space="preserve">Форма 7. Информация об инвестиционных программах организации холодного водоснабжения и отчетах об их исполнении</v>
      </c>
      <c r="G5" s="466"/>
      <c r="H5" s="466"/>
      <c r="I5" s="466"/>
      <c r="J5" s="466"/>
      <c r="K5" s="466"/>
      <c r="L5" s="776"/>
      <c r="M5" s="776"/>
      <c r="AG5" s="50"/>
      <c r="AH5" s="50"/>
      <c r="BG5" s="50">
        <v>26</v>
      </c>
    </row>
    <row r="6" ht="10.5" customHeight="1">
      <c r="F6" s="320" t="str">
        <f>IF(org=0,"Не определено",org)</f>
        <v xml:space="preserve">филиал Пермская ГРЭС АО "Интер РАО - Электрогенерация"</v>
      </c>
      <c r="G6" s="320"/>
      <c r="H6" s="320"/>
      <c r="I6" s="320"/>
      <c r="J6" s="320"/>
      <c r="K6" s="320"/>
      <c r="L6" s="776"/>
      <c r="M6" s="776"/>
      <c r="BG6" s="50">
        <v>10</v>
      </c>
    </row>
    <row r="7" ht="11.5" customHeight="1">
      <c r="E7" s="91"/>
      <c r="F7" s="946"/>
      <c r="G7" s="946"/>
      <c r="H7" s="946"/>
      <c r="I7" s="946"/>
      <c r="J7" s="946"/>
      <c r="K7" s="947"/>
      <c r="L7" s="947"/>
      <c r="M7" s="947"/>
      <c r="N7" s="946"/>
      <c r="O7" s="946"/>
      <c r="P7" s="946"/>
      <c r="Q7" s="947"/>
      <c r="R7" s="946"/>
      <c r="S7" s="946"/>
      <c r="T7" s="946"/>
      <c r="U7" s="946"/>
      <c r="V7" s="946"/>
      <c r="W7" s="946"/>
      <c r="X7" s="946"/>
      <c r="Y7" s="946"/>
      <c r="Z7" s="946"/>
      <c r="AA7" s="946"/>
      <c r="AB7" s="946"/>
      <c r="AC7" s="948"/>
      <c r="AD7" s="948"/>
      <c r="AE7" s="948"/>
      <c r="AF7" s="946"/>
      <c r="AG7" s="946"/>
      <c r="AH7" s="946"/>
      <c r="AI7" s="946"/>
      <c r="AJ7" s="946"/>
      <c r="AK7" s="946"/>
      <c r="AL7" s="53"/>
      <c r="AM7" s="53"/>
      <c r="AN7" s="53"/>
      <c r="AO7" s="143"/>
      <c r="AP7" s="143"/>
      <c r="AQ7" s="143"/>
      <c r="AR7" s="143"/>
      <c r="AS7" s="143"/>
      <c r="AT7" s="143"/>
      <c r="AU7" s="143"/>
      <c r="AV7" s="143"/>
      <c r="AW7" s="143"/>
      <c r="AX7" s="143"/>
      <c r="AY7" s="143"/>
      <c r="AZ7" s="143"/>
      <c r="BA7" s="143"/>
      <c r="BB7" s="143"/>
      <c r="BC7" s="143"/>
      <c r="BD7" s="143"/>
      <c r="BE7" s="143"/>
      <c r="BF7" s="143"/>
      <c r="BG7" s="50">
        <v>11</v>
      </c>
    </row>
    <row r="8" ht="10.5" customHeight="1">
      <c r="E8" s="91"/>
      <c r="F8" s="949" t="s">
        <v>302</v>
      </c>
      <c r="G8" s="950"/>
      <c r="H8" s="950"/>
      <c r="I8" s="950"/>
      <c r="J8" s="950"/>
      <c r="K8" s="950"/>
      <c r="L8" s="950"/>
      <c r="M8" s="950"/>
      <c r="N8" s="950"/>
      <c r="O8" s="950"/>
      <c r="P8" s="950"/>
      <c r="Q8" s="950"/>
      <c r="R8" s="950"/>
      <c r="S8" s="950"/>
      <c r="T8" s="950"/>
      <c r="U8" s="950"/>
      <c r="V8" s="950"/>
      <c r="W8" s="950"/>
      <c r="X8" s="950"/>
      <c r="Y8" s="950"/>
      <c r="Z8" s="950"/>
      <c r="AA8" s="950"/>
      <c r="AB8" s="950"/>
      <c r="AC8" s="950"/>
      <c r="AD8" s="950"/>
      <c r="AE8" s="950"/>
      <c r="AF8" s="950"/>
      <c r="AG8" s="950"/>
      <c r="AH8" s="950"/>
      <c r="AI8" s="950"/>
      <c r="AJ8" s="950"/>
      <c r="AK8" s="951"/>
      <c r="AL8" s="952"/>
      <c r="AM8" s="143"/>
      <c r="AN8" s="143"/>
      <c r="AO8" s="143"/>
      <c r="AP8" s="143"/>
      <c r="AQ8" s="143"/>
      <c r="AR8" s="143"/>
      <c r="AS8" s="143"/>
      <c r="AT8" s="143"/>
      <c r="AU8" s="143"/>
      <c r="AV8" s="143"/>
      <c r="AW8" s="143"/>
      <c r="AX8" s="143"/>
      <c r="AY8" s="143"/>
      <c r="AZ8" s="143"/>
      <c r="BA8" s="143"/>
      <c r="BB8" s="143"/>
      <c r="BC8" s="143"/>
      <c r="BD8" s="143"/>
      <c r="BE8" s="143"/>
      <c r="BF8" s="143"/>
      <c r="BG8" s="50">
        <v>10</v>
      </c>
    </row>
    <row r="9" ht="24" customHeight="1">
      <c r="A9" s="941"/>
      <c r="B9" s="941"/>
      <c r="C9" s="941"/>
      <c r="E9" s="91"/>
      <c r="F9" s="362" t="s">
        <v>987</v>
      </c>
      <c r="G9" s="673" t="s">
        <v>988</v>
      </c>
      <c r="H9" s="884"/>
      <c r="I9" s="157" t="s">
        <v>989</v>
      </c>
      <c r="J9" s="157"/>
      <c r="K9" s="157" t="s">
        <v>990</v>
      </c>
      <c r="L9" s="157"/>
      <c r="M9" s="157"/>
      <c r="N9" s="157"/>
      <c r="O9" s="157"/>
      <c r="P9" s="157"/>
      <c r="Q9" s="157"/>
      <c r="R9" s="157"/>
      <c r="S9" s="157"/>
      <c r="T9" s="157"/>
      <c r="U9" s="157"/>
      <c r="V9" s="157"/>
      <c r="W9" s="157"/>
      <c r="X9" s="157"/>
      <c r="Y9" s="157"/>
      <c r="Z9" s="321" t="s">
        <v>991</v>
      </c>
      <c r="AA9" s="322"/>
      <c r="AB9" s="157" t="s">
        <v>992</v>
      </c>
      <c r="AC9" s="157"/>
      <c r="AD9" s="157"/>
      <c r="AE9" s="157"/>
      <c r="AF9" s="324" t="s">
        <v>993</v>
      </c>
      <c r="AG9" s="157" t="s">
        <v>994</v>
      </c>
      <c r="AH9" s="157"/>
      <c r="AI9" s="324" t="s">
        <v>995</v>
      </c>
      <c r="AJ9" s="157" t="s">
        <v>996</v>
      </c>
      <c r="AK9" s="157"/>
      <c r="AL9" s="50"/>
      <c r="AM9" s="143"/>
      <c r="AN9" s="143"/>
      <c r="AO9" s="143"/>
      <c r="AP9" s="143"/>
      <c r="AQ9" s="143"/>
      <c r="AR9" s="143"/>
      <c r="AS9" s="143"/>
      <c r="AT9" s="143"/>
      <c r="AU9" s="143"/>
      <c r="AV9" s="143"/>
      <c r="AW9" s="143"/>
      <c r="AX9" s="143"/>
      <c r="AY9" s="143"/>
      <c r="AZ9" s="143"/>
      <c r="BA9" s="143"/>
      <c r="BB9" s="143"/>
      <c r="BC9" s="143"/>
      <c r="BD9" s="143"/>
      <c r="BE9" s="143"/>
      <c r="BF9" s="143"/>
      <c r="BG9" s="50">
        <v>23</v>
      </c>
    </row>
    <row r="10" ht="25.199999999999999" customHeight="1">
      <c r="A10" s="941"/>
      <c r="B10" s="941"/>
      <c r="C10" s="941"/>
      <c r="E10" s="91"/>
      <c r="F10" s="362"/>
      <c r="G10" s="676"/>
      <c r="H10" s="375"/>
      <c r="I10" s="157"/>
      <c r="J10" s="157"/>
      <c r="K10" s="157" t="s">
        <v>997</v>
      </c>
      <c r="L10" s="73" t="s">
        <v>998</v>
      </c>
      <c r="M10" s="72"/>
      <c r="N10" s="157" t="s">
        <v>999</v>
      </c>
      <c r="O10" s="157"/>
      <c r="P10" s="157"/>
      <c r="Q10" s="157"/>
      <c r="R10" s="157"/>
      <c r="S10" s="157"/>
      <c r="T10" s="157"/>
      <c r="U10" s="157"/>
      <c r="V10" s="157"/>
      <c r="W10" s="157"/>
      <c r="X10" s="157"/>
      <c r="Y10" s="157"/>
      <c r="Z10" s="325"/>
      <c r="AA10" s="326"/>
      <c r="AB10" s="157"/>
      <c r="AC10" s="157"/>
      <c r="AD10" s="157"/>
      <c r="AE10" s="157"/>
      <c r="AF10" s="323"/>
      <c r="AG10" s="157"/>
      <c r="AH10" s="157"/>
      <c r="AI10" s="323"/>
      <c r="AJ10" s="157"/>
      <c r="AK10" s="157"/>
      <c r="AL10" s="50"/>
      <c r="AM10" s="143"/>
      <c r="AN10" s="143"/>
      <c r="AO10" s="143"/>
      <c r="AP10" s="143"/>
      <c r="AQ10" s="143"/>
      <c r="AR10" s="143"/>
      <c r="AS10" s="143"/>
      <c r="AT10" s="143"/>
      <c r="AU10" s="143"/>
      <c r="AV10" s="143"/>
      <c r="AW10" s="143"/>
      <c r="AX10" s="143"/>
      <c r="AY10" s="143"/>
      <c r="AZ10" s="143"/>
      <c r="BA10" s="143"/>
      <c r="BB10" s="143"/>
      <c r="BC10" s="143"/>
      <c r="BD10" s="143"/>
      <c r="BE10" s="143"/>
      <c r="BF10" s="143"/>
      <c r="BG10" s="50">
        <v>24</v>
      </c>
    </row>
    <row r="11" s="50" customFormat="1" ht="25.199999999999999" customHeight="1">
      <c r="A11" s="941"/>
      <c r="B11" s="941"/>
      <c r="C11" s="941"/>
      <c r="D11" s="53"/>
      <c r="E11" s="91"/>
      <c r="F11" s="362"/>
      <c r="G11" s="676"/>
      <c r="H11" s="375"/>
      <c r="I11" s="157"/>
      <c r="J11" s="157"/>
      <c r="K11" s="157"/>
      <c r="L11" s="324" t="s">
        <v>1000</v>
      </c>
      <c r="M11" s="324" t="s">
        <v>1001</v>
      </c>
      <c r="N11" s="157" t="s">
        <v>1002</v>
      </c>
      <c r="O11" s="157"/>
      <c r="P11" s="246" t="s">
        <v>983</v>
      </c>
      <c r="Q11" s="246" t="s">
        <v>1003</v>
      </c>
      <c r="R11" s="246" t="s">
        <v>1004</v>
      </c>
      <c r="S11" s="246" t="s">
        <v>1005</v>
      </c>
      <c r="T11" s="246"/>
      <c r="U11" s="246"/>
      <c r="V11" s="246"/>
      <c r="W11" s="246"/>
      <c r="X11" s="246"/>
      <c r="Y11" s="246"/>
      <c r="Z11" s="325"/>
      <c r="AA11" s="326"/>
      <c r="AB11" s="157" t="s">
        <v>1006</v>
      </c>
      <c r="AC11" s="157"/>
      <c r="AD11" s="73" t="s">
        <v>1007</v>
      </c>
      <c r="AE11" s="72"/>
      <c r="AF11" s="323"/>
      <c r="AG11" s="157"/>
      <c r="AH11" s="157"/>
      <c r="AI11" s="323"/>
      <c r="AJ11" s="157"/>
      <c r="AK11" s="157"/>
      <c r="AL11" s="50"/>
      <c r="AM11" s="143"/>
      <c r="AN11" s="143"/>
      <c r="AO11" s="143"/>
      <c r="AP11" s="143"/>
      <c r="AQ11" s="143"/>
      <c r="AR11" s="143"/>
      <c r="AS11" s="143"/>
      <c r="AT11" s="143"/>
      <c r="AU11" s="143"/>
      <c r="AV11" s="143"/>
      <c r="AW11" s="143"/>
      <c r="AX11" s="143"/>
      <c r="AY11" s="143"/>
      <c r="AZ11" s="143"/>
      <c r="BA11" s="143"/>
      <c r="BB11" s="143"/>
      <c r="BC11" s="143"/>
      <c r="BD11" s="143"/>
      <c r="BE11" s="143"/>
      <c r="BF11" s="143"/>
      <c r="BG11" s="50">
        <v>24</v>
      </c>
    </row>
    <row r="12" ht="35.649999999999999" customHeight="1">
      <c r="A12" s="941"/>
      <c r="B12" s="941"/>
      <c r="C12" s="941"/>
      <c r="E12" s="91"/>
      <c r="F12" s="362"/>
      <c r="G12" s="682"/>
      <c r="H12" s="750"/>
      <c r="I12" s="157" t="s">
        <v>89</v>
      </c>
      <c r="J12" s="157" t="s">
        <v>1008</v>
      </c>
      <c r="K12" s="157"/>
      <c r="L12" s="162"/>
      <c r="M12" s="162"/>
      <c r="N12" s="157"/>
      <c r="O12" s="157"/>
      <c r="P12" s="246"/>
      <c r="Q12" s="246"/>
      <c r="R12" s="246"/>
      <c r="S12" s="246" t="s">
        <v>86</v>
      </c>
      <c r="T12" s="246" t="s">
        <v>87</v>
      </c>
      <c r="U12" s="246" t="s">
        <v>85</v>
      </c>
      <c r="V12" s="246" t="s">
        <v>1009</v>
      </c>
      <c r="W12" s="246" t="s">
        <v>85</v>
      </c>
      <c r="X12" s="246" t="s">
        <v>1010</v>
      </c>
      <c r="Y12" s="246" t="s">
        <v>1011</v>
      </c>
      <c r="Z12" s="327"/>
      <c r="AA12" s="328"/>
      <c r="AB12" s="157" t="s">
        <v>1012</v>
      </c>
      <c r="AC12" s="157" t="s">
        <v>1013</v>
      </c>
      <c r="AD12" s="157" t="s">
        <v>1012</v>
      </c>
      <c r="AE12" s="157" t="s">
        <v>1013</v>
      </c>
      <c r="AF12" s="162"/>
      <c r="AG12" s="157" t="s">
        <v>1014</v>
      </c>
      <c r="AH12" s="157" t="s">
        <v>1015</v>
      </c>
      <c r="AI12" s="162"/>
      <c r="AJ12" s="157" t="s">
        <v>1014</v>
      </c>
      <c r="AK12" s="157" t="s">
        <v>1015</v>
      </c>
      <c r="AL12" s="50"/>
      <c r="AM12" s="143"/>
      <c r="AN12" s="143"/>
      <c r="AO12" s="143"/>
      <c r="AP12" s="143"/>
      <c r="AQ12" s="143"/>
      <c r="AR12" s="143"/>
      <c r="AS12" s="143"/>
      <c r="AT12" s="143"/>
      <c r="AU12" s="143"/>
      <c r="AV12" s="143"/>
      <c r="AW12" s="143"/>
      <c r="AX12" s="143"/>
      <c r="AY12" s="143"/>
      <c r="AZ12" s="143"/>
      <c r="BA12" s="143"/>
      <c r="BB12" s="143"/>
      <c r="BC12" s="143"/>
      <c r="BD12" s="143"/>
      <c r="BE12" s="143"/>
      <c r="BF12" s="143"/>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52"/>
      <c r="AM13" s="143"/>
      <c r="AN13" s="143"/>
      <c r="AO13" s="143"/>
      <c r="AP13" s="143"/>
      <c r="AQ13" s="143"/>
      <c r="AR13" s="143"/>
      <c r="AS13" s="143"/>
      <c r="AT13" s="143"/>
      <c r="AU13" s="143"/>
      <c r="AV13" s="143"/>
      <c r="AW13" s="143"/>
      <c r="AX13" s="143"/>
      <c r="AY13" s="143"/>
      <c r="AZ13" s="143"/>
      <c r="BA13" s="143"/>
      <c r="BB13" s="143"/>
      <c r="BC13" s="143"/>
      <c r="BD13" s="143"/>
      <c r="BE13" s="143"/>
      <c r="BF13" s="143"/>
      <c r="BG13" s="50">
        <v>1</v>
      </c>
    </row>
    <row r="14" ht="10.5" customHeight="1">
      <c r="E14" s="143"/>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50">
        <v>10</v>
      </c>
    </row>
    <row r="15" ht="13.5" customHeight="1">
      <c r="E15" s="143"/>
      <c r="F15" s="106" t="s">
        <v>1016</v>
      </c>
      <c r="G15" s="106"/>
      <c r="H15" s="106"/>
      <c r="I15" s="106"/>
      <c r="J15" s="106"/>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50">
        <v>13</v>
      </c>
    </row>
    <row r="16" ht="10.5" customHeight="1">
      <c r="BG16" s="50">
        <v>10</v>
      </c>
    </row>
    <row r="17" ht="10.5" customHeight="1">
      <c r="E17" s="143"/>
      <c r="F17" s="86"/>
      <c r="G17" s="86"/>
      <c r="H17" s="86"/>
      <c r="I17" s="86"/>
      <c r="J17" s="86"/>
      <c r="K17" s="143"/>
      <c r="L17" s="143"/>
      <c r="M17" s="143"/>
      <c r="N17" s="143"/>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50">
        <v>10</v>
      </c>
    </row>
    <row r="18" ht="10.5" customHeight="1">
      <c r="E18" s="143"/>
      <c r="F18" s="86"/>
      <c r="G18" s="86"/>
      <c r="H18" s="86"/>
      <c r="I18" s="86"/>
      <c r="J18" s="86"/>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50">
        <v>10</v>
      </c>
    </row>
    <row r="19" ht="10.5" customHeight="1">
      <c r="E19" s="143"/>
      <c r="F19" s="86"/>
      <c r="G19" s="86"/>
      <c r="H19" s="86"/>
      <c r="I19" s="86"/>
      <c r="J19" s="86"/>
      <c r="K19" s="143"/>
      <c r="L19" s="143"/>
      <c r="M19" s="143"/>
      <c r="N19" s="143"/>
      <c r="O19" s="143"/>
      <c r="P19" s="143"/>
      <c r="Q19" s="143"/>
      <c r="R19" s="143"/>
      <c r="S19" s="143"/>
      <c r="T19" s="143"/>
      <c r="U19" s="143"/>
      <c r="V19" s="143"/>
      <c r="W19" s="143"/>
      <c r="X19" s="143"/>
      <c r="Y19" s="143"/>
      <c r="Z19" s="143"/>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50">
        <v>10</v>
      </c>
    </row>
    <row r="20" ht="10.5" hidden="1" customHeight="1">
      <c r="A20" s="124" t="s">
        <v>82</v>
      </c>
      <c r="B20" s="124">
        <v>0</v>
      </c>
      <c r="C20" s="124">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0" deleteRows="0" formatCells="1" formatColumns="0" formatRows="0" insertColumns="1" insertHyperlinks="1" insertRows="0" pivotTables="1" selectLockedCells="0" selectUnlockedCells="0" sheet="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4"/>
      <c r="B1" s="124"/>
      <c r="C1" s="124"/>
      <c r="E1" s="53"/>
      <c r="W1" s="53" t="s">
        <v>14</v>
      </c>
    </row>
    <row r="2" ht="10.5" hidden="1" customHeight="1">
      <c r="W2" s="50">
        <v>0</v>
      </c>
    </row>
    <row r="3" s="56" customFormat="1" ht="10.5" hidden="1" customHeight="1">
      <c r="A3" s="124"/>
      <c r="B3" s="124"/>
      <c r="C3" s="124"/>
      <c r="D3" s="53"/>
      <c r="E3" s="56"/>
      <c r="W3" s="56">
        <v>0</v>
      </c>
    </row>
    <row r="4" ht="3" customHeight="1">
      <c r="W4" s="50">
        <v>3</v>
      </c>
    </row>
    <row r="5" ht="27.300000000000001" customHeight="1">
      <c r="F5" s="466" t="str">
        <f>IP_NAME_FORM&amp;"
Финансовый план"</f>
        <v xml:space="preserve">Форма 7. Информация об инвестиционных программах организации холодного водоснабжения и отчетах об их исполнении
Финансовый план</v>
      </c>
      <c r="G5" s="466"/>
      <c r="H5" s="466"/>
      <c r="I5" s="466"/>
      <c r="J5" s="466"/>
      <c r="W5" s="50">
        <v>26</v>
      </c>
    </row>
    <row r="6" ht="10.5" customHeight="1">
      <c r="F6" s="320" t="str">
        <f>IF(org=0,"Не определено",org)</f>
        <v xml:space="preserve">филиал Пермская ГРЭС АО "Интер РАО - Электрогенерация"</v>
      </c>
      <c r="G6" s="320"/>
      <c r="H6" s="320"/>
      <c r="I6" s="320"/>
      <c r="J6" s="320"/>
      <c r="W6" s="50">
        <v>10</v>
      </c>
    </row>
    <row r="7" ht="11.5" customHeight="1">
      <c r="E7" s="91"/>
      <c r="F7" s="953"/>
      <c r="G7" s="953"/>
      <c r="H7" s="953"/>
      <c r="I7" s="953"/>
      <c r="J7" s="953"/>
      <c r="K7" s="143"/>
      <c r="L7" s="143"/>
      <c r="M7" s="143"/>
      <c r="N7" s="143"/>
      <c r="O7" s="143"/>
      <c r="P7" s="143"/>
      <c r="Q7" s="143"/>
      <c r="R7" s="143"/>
      <c r="S7" s="143"/>
      <c r="T7" s="143"/>
      <c r="U7" s="143"/>
      <c r="V7" s="143"/>
      <c r="W7" s="50">
        <v>11</v>
      </c>
    </row>
    <row r="8" s="57" customFormat="1" ht="4.2000000000000002" customHeight="1">
      <c r="A8" s="545"/>
      <c r="B8" s="545"/>
      <c r="C8" s="545"/>
      <c r="E8" s="167"/>
      <c r="F8" s="954"/>
      <c r="G8" s="954"/>
      <c r="H8" s="954"/>
      <c r="I8" s="954"/>
      <c r="J8" s="954"/>
      <c r="K8" s="167"/>
      <c r="L8" s="167"/>
      <c r="M8" s="167"/>
      <c r="N8" s="167"/>
      <c r="O8" s="167"/>
      <c r="P8" s="167"/>
      <c r="Q8" s="167"/>
      <c r="R8" s="167"/>
      <c r="S8" s="167"/>
      <c r="T8" s="167"/>
      <c r="U8" s="167"/>
      <c r="V8" s="167"/>
      <c r="W8" s="57">
        <v>4</v>
      </c>
    </row>
    <row r="9" ht="10.5" customHeight="1">
      <c r="E9" s="91"/>
      <c r="F9" s="955" t="s">
        <v>302</v>
      </c>
      <c r="G9" s="956"/>
      <c r="H9" s="956"/>
      <c r="I9" s="956"/>
      <c r="J9" s="956"/>
      <c r="K9" s="957"/>
      <c r="L9" s="143"/>
      <c r="M9" s="143"/>
      <c r="N9" s="143"/>
      <c r="O9" s="143"/>
      <c r="P9" s="143"/>
      <c r="Q9" s="143"/>
      <c r="R9" s="143"/>
      <c r="S9" s="143"/>
      <c r="T9" s="143"/>
      <c r="U9" s="143"/>
      <c r="V9" s="143"/>
      <c r="W9" s="50">
        <v>10</v>
      </c>
    </row>
    <row r="10" ht="25.199999999999999" customHeight="1">
      <c r="E10" s="143"/>
      <c r="F10" s="958" t="s">
        <v>88</v>
      </c>
      <c r="G10" s="251" t="s">
        <v>1017</v>
      </c>
      <c r="H10" s="444" t="s">
        <v>1018</v>
      </c>
      <c r="I10" s="444"/>
      <c r="J10" s="444"/>
      <c r="K10" s="959"/>
      <c r="L10" s="143"/>
      <c r="M10" s="143"/>
      <c r="N10" s="143"/>
      <c r="O10" s="143"/>
      <c r="P10" s="143"/>
      <c r="Q10" s="143"/>
      <c r="R10" s="143"/>
      <c r="S10" s="143"/>
      <c r="T10" s="143"/>
      <c r="U10" s="143"/>
      <c r="V10" s="143"/>
      <c r="W10" s="50">
        <v>24</v>
      </c>
    </row>
    <row r="11" ht="25.5" customHeight="1">
      <c r="E11" s="143"/>
      <c r="F11" s="960"/>
      <c r="G11" s="251"/>
      <c r="H11" s="961" t="e">
        <f>INDEX(IP_MAIN_LIST_NAME_IP,MATCH(H8,IP_MAIN_LIST_IP_ID,0))&amp;" ("&amp;INDEX(IP_MAIN_START_DATE,MATCH(H8,IP_MAIN_LIST_IP_ID,0))&amp;"-"&amp;INDEX(IP_MAIN_END_DATE,MATCH(H8,IP_MAIN_LIST_IP_ID,0))&amp;")"</f>
        <v>#VALUE!</v>
      </c>
      <c r="I11" s="961"/>
      <c r="J11" s="961"/>
      <c r="K11" s="959"/>
      <c r="L11" s="143"/>
      <c r="M11" s="143"/>
      <c r="N11" s="143"/>
      <c r="O11" s="143"/>
      <c r="P11" s="143"/>
      <c r="Q11" s="143"/>
      <c r="R11" s="143"/>
      <c r="S11" s="143"/>
      <c r="T11" s="143"/>
      <c r="U11" s="143"/>
      <c r="V11" s="143"/>
      <c r="W11" s="50">
        <v>24</v>
      </c>
    </row>
    <row r="12" ht="10.5" customHeight="1">
      <c r="F12" s="962"/>
      <c r="G12" s="251"/>
      <c r="H12" s="251" t="s">
        <v>1019</v>
      </c>
      <c r="I12" s="963"/>
      <c r="J12" s="251"/>
      <c r="K12" s="964"/>
      <c r="W12" s="50">
        <v>10</v>
      </c>
    </row>
    <row r="13" ht="10.5" hidden="1" customHeight="1">
      <c r="F13" s="251">
        <v>1</v>
      </c>
      <c r="G13" s="251">
        <v>2</v>
      </c>
      <c r="H13" s="251">
        <v>3</v>
      </c>
      <c r="I13" s="251">
        <v>4</v>
      </c>
      <c r="J13" s="251">
        <v>5</v>
      </c>
      <c r="K13" s="964"/>
      <c r="W13" s="50">
        <v>0</v>
      </c>
    </row>
    <row r="14" ht="11.5" customHeight="1">
      <c r="F14" s="444" t="s">
        <v>1020</v>
      </c>
      <c r="G14" s="898" t="s">
        <v>1021</v>
      </c>
      <c r="H14" s="898"/>
      <c r="I14" s="898"/>
      <c r="J14" s="898"/>
      <c r="K14" s="964"/>
      <c r="W14" s="50">
        <v>11</v>
      </c>
    </row>
    <row r="15" ht="11.5" customHeight="1">
      <c r="F15" s="251">
        <v>1</v>
      </c>
      <c r="G15" s="394" t="s">
        <v>1022</v>
      </c>
      <c r="H15" s="965">
        <f t="shared" ref="H15:H58" si="48">SUM(I15:J15)</f>
        <v>0</v>
      </c>
      <c r="I15" s="965">
        <f>SUM(I16:I27)</f>
        <v>0</v>
      </c>
      <c r="J15" s="444"/>
      <c r="K15" s="964"/>
      <c r="W15" s="50">
        <v>11</v>
      </c>
    </row>
    <row r="16" ht="24" customHeight="1">
      <c r="F16" s="251" t="s">
        <v>1023</v>
      </c>
      <c r="G16" s="897" t="s">
        <v>1024</v>
      </c>
      <c r="H16" s="965">
        <f t="shared" si="48"/>
        <v>0</v>
      </c>
      <c r="I16" s="966"/>
      <c r="J16" s="444"/>
      <c r="K16" s="964"/>
      <c r="W16" s="50">
        <v>23</v>
      </c>
    </row>
    <row r="17" ht="24" customHeight="1">
      <c r="F17" s="251" t="s">
        <v>1025</v>
      </c>
      <c r="G17" s="897" t="s">
        <v>1026</v>
      </c>
      <c r="H17" s="965">
        <f t="shared" si="48"/>
        <v>0</v>
      </c>
      <c r="I17" s="966"/>
      <c r="J17" s="444"/>
      <c r="K17" s="964"/>
      <c r="W17" s="50">
        <v>23</v>
      </c>
    </row>
    <row r="18" ht="35.649999999999999" customHeight="1">
      <c r="F18" s="251" t="s">
        <v>1027</v>
      </c>
      <c r="G18" s="897" t="s">
        <v>1028</v>
      </c>
      <c r="H18" s="965">
        <f t="shared" si="48"/>
        <v>0</v>
      </c>
      <c r="I18" s="966"/>
      <c r="J18" s="444"/>
      <c r="K18" s="964"/>
      <c r="W18" s="50">
        <v>34</v>
      </c>
    </row>
    <row r="19" ht="35.649999999999999" customHeight="1">
      <c r="F19" s="251" t="s">
        <v>1029</v>
      </c>
      <c r="G19" s="897" t="s">
        <v>1030</v>
      </c>
      <c r="H19" s="965">
        <f t="shared" si="48"/>
        <v>0</v>
      </c>
      <c r="I19" s="966"/>
      <c r="J19" s="444"/>
      <c r="K19" s="964"/>
      <c r="W19" s="50">
        <v>34</v>
      </c>
    </row>
    <row r="20" ht="48.25" customHeight="1">
      <c r="F20" s="251" t="s">
        <v>1031</v>
      </c>
      <c r="G20" s="897" t="s">
        <v>1032</v>
      </c>
      <c r="H20" s="965">
        <f t="shared" si="48"/>
        <v>0</v>
      </c>
      <c r="I20" s="966"/>
      <c r="J20" s="444"/>
      <c r="K20" s="964"/>
      <c r="W20" s="50">
        <v>46</v>
      </c>
    </row>
    <row r="21" ht="35.649999999999999" customHeight="1">
      <c r="F21" s="251" t="s">
        <v>1033</v>
      </c>
      <c r="G21" s="897" t="s">
        <v>1034</v>
      </c>
      <c r="H21" s="965">
        <f t="shared" si="48"/>
        <v>0</v>
      </c>
      <c r="I21" s="966"/>
      <c r="J21" s="444"/>
      <c r="K21" s="964"/>
      <c r="W21" s="50">
        <v>34</v>
      </c>
    </row>
    <row r="22" ht="35.649999999999999" customHeight="1">
      <c r="F22" s="251" t="s">
        <v>1035</v>
      </c>
      <c r="G22" s="897" t="s">
        <v>1036</v>
      </c>
      <c r="H22" s="965">
        <f t="shared" si="48"/>
        <v>0</v>
      </c>
      <c r="I22" s="966"/>
      <c r="J22" s="444"/>
      <c r="K22" s="964"/>
      <c r="W22" s="50">
        <v>34</v>
      </c>
    </row>
    <row r="23" ht="24" customHeight="1">
      <c r="F23" s="251" t="s">
        <v>1037</v>
      </c>
      <c r="G23" s="897" t="s">
        <v>1038</v>
      </c>
      <c r="H23" s="965">
        <f t="shared" si="48"/>
        <v>0</v>
      </c>
      <c r="I23" s="966"/>
      <c r="J23" s="444"/>
      <c r="K23" s="964"/>
      <c r="W23" s="50">
        <v>23</v>
      </c>
    </row>
    <row r="24" ht="24" customHeight="1">
      <c r="F24" s="251" t="s">
        <v>1039</v>
      </c>
      <c r="G24" s="897" t="s">
        <v>1040</v>
      </c>
      <c r="H24" s="965">
        <f t="shared" si="48"/>
        <v>0</v>
      </c>
      <c r="I24" s="966"/>
      <c r="J24" s="444"/>
      <c r="K24" s="964"/>
      <c r="W24" s="50">
        <v>23</v>
      </c>
    </row>
    <row r="25" ht="35.649999999999999" customHeight="1">
      <c r="F25" s="251" t="s">
        <v>1041</v>
      </c>
      <c r="G25" s="897" t="s">
        <v>1042</v>
      </c>
      <c r="H25" s="965">
        <f t="shared" si="48"/>
        <v>0</v>
      </c>
      <c r="I25" s="966"/>
      <c r="J25" s="444"/>
      <c r="K25" s="964"/>
      <c r="W25" s="50">
        <v>34</v>
      </c>
    </row>
    <row r="26" ht="35.649999999999999" customHeight="1">
      <c r="F26" s="251" t="s">
        <v>1043</v>
      </c>
      <c r="G26" s="897" t="s">
        <v>1044</v>
      </c>
      <c r="H26" s="965">
        <f t="shared" si="48"/>
        <v>0</v>
      </c>
      <c r="I26" s="966"/>
      <c r="J26" s="444"/>
      <c r="K26" s="964"/>
      <c r="W26" s="50">
        <v>34</v>
      </c>
    </row>
    <row r="27" ht="11.5" customHeight="1">
      <c r="F27" s="251" t="s">
        <v>1045</v>
      </c>
      <c r="G27" s="897" t="s">
        <v>1046</v>
      </c>
      <c r="H27" s="965">
        <f t="shared" si="48"/>
        <v>0</v>
      </c>
      <c r="I27" s="966"/>
      <c r="J27" s="444"/>
      <c r="K27" s="964"/>
      <c r="W27" s="50">
        <v>11</v>
      </c>
    </row>
    <row r="28" ht="11.5" customHeight="1">
      <c r="F28" s="251">
        <v>2</v>
      </c>
      <c r="G28" s="394" t="s">
        <v>1047</v>
      </c>
      <c r="H28" s="965">
        <f t="shared" si="48"/>
        <v>0</v>
      </c>
      <c r="I28" s="965">
        <f>SUM(I29:I31)</f>
        <v>0</v>
      </c>
      <c r="J28" s="444"/>
      <c r="K28" s="964"/>
      <c r="W28" s="50">
        <v>11</v>
      </c>
    </row>
    <row r="29" ht="11.5" customHeight="1">
      <c r="F29" s="251" t="s">
        <v>710</v>
      </c>
      <c r="G29" s="897" t="s">
        <v>1048</v>
      </c>
      <c r="H29" s="965">
        <f t="shared" si="48"/>
        <v>0</v>
      </c>
      <c r="I29" s="966"/>
      <c r="J29" s="444"/>
      <c r="K29" s="964"/>
      <c r="W29" s="50">
        <v>11</v>
      </c>
    </row>
    <row r="30" ht="11.5" customHeight="1">
      <c r="F30" s="251" t="s">
        <v>309</v>
      </c>
      <c r="G30" s="897" t="s">
        <v>1049</v>
      </c>
      <c r="H30" s="965">
        <f t="shared" si="48"/>
        <v>0</v>
      </c>
      <c r="I30" s="966"/>
      <c r="J30" s="444"/>
      <c r="K30" s="964"/>
      <c r="W30" s="50">
        <v>11</v>
      </c>
    </row>
    <row r="31" ht="11.5" customHeight="1">
      <c r="F31" s="251" t="s">
        <v>312</v>
      </c>
      <c r="G31" s="897" t="s">
        <v>1050</v>
      </c>
      <c r="H31" s="965">
        <f t="shared" si="48"/>
        <v>0</v>
      </c>
      <c r="I31" s="966"/>
      <c r="J31" s="444"/>
      <c r="K31" s="964"/>
      <c r="W31" s="50">
        <v>11</v>
      </c>
    </row>
    <row r="32" ht="11.5" customHeight="1">
      <c r="F32" s="251">
        <v>3</v>
      </c>
      <c r="G32" s="394" t="s">
        <v>1051</v>
      </c>
      <c r="H32" s="965">
        <f t="shared" si="48"/>
        <v>0</v>
      </c>
      <c r="I32" s="965">
        <f>SUM(I33:I34)</f>
        <v>0</v>
      </c>
      <c r="J32" s="444"/>
      <c r="K32" s="964"/>
      <c r="W32" s="50">
        <v>11</v>
      </c>
    </row>
    <row r="33" ht="48.25" customHeight="1">
      <c r="F33" s="251" t="s">
        <v>326</v>
      </c>
      <c r="G33" s="897" t="s">
        <v>1052</v>
      </c>
      <c r="H33" s="965">
        <f t="shared" si="48"/>
        <v>0</v>
      </c>
      <c r="I33" s="966"/>
      <c r="J33" s="444"/>
      <c r="K33" s="964"/>
      <c r="W33" s="50">
        <v>46</v>
      </c>
    </row>
    <row r="34" ht="11.5" customHeight="1">
      <c r="F34" s="251" t="s">
        <v>334</v>
      </c>
      <c r="G34" s="897" t="s">
        <v>1053</v>
      </c>
      <c r="H34" s="965">
        <f t="shared" si="48"/>
        <v>0</v>
      </c>
      <c r="I34" s="966"/>
      <c r="J34" s="444"/>
      <c r="K34" s="964"/>
      <c r="W34" s="50">
        <v>11</v>
      </c>
    </row>
    <row r="35" ht="11.5" customHeight="1">
      <c r="F35" s="251">
        <v>4</v>
      </c>
      <c r="G35" s="394" t="s">
        <v>1054</v>
      </c>
      <c r="H35" s="965">
        <f t="shared" si="48"/>
        <v>0</v>
      </c>
      <c r="I35" s="966"/>
      <c r="J35" s="444"/>
      <c r="K35" s="964"/>
      <c r="W35" s="50">
        <v>11</v>
      </c>
    </row>
    <row r="36" ht="11.5" customHeight="1">
      <c r="F36" s="251"/>
      <c r="G36" s="898" t="s">
        <v>1055</v>
      </c>
      <c r="H36" s="965">
        <f t="shared" si="48"/>
        <v>0</v>
      </c>
      <c r="I36" s="965">
        <f>SUM(I15,I28,I32,I35)</f>
        <v>0</v>
      </c>
      <c r="J36" s="444"/>
      <c r="K36" s="964"/>
      <c r="W36" s="50">
        <v>11</v>
      </c>
    </row>
    <row r="37" ht="29.25" customHeight="1">
      <c r="F37" s="444" t="s">
        <v>1056</v>
      </c>
      <c r="G37" s="379" t="s">
        <v>1057</v>
      </c>
      <c r="H37" s="379"/>
      <c r="I37" s="379"/>
      <c r="J37" s="379"/>
      <c r="K37" s="964"/>
      <c r="W37" s="50">
        <v>28</v>
      </c>
    </row>
    <row r="38" ht="24" customHeight="1">
      <c r="F38" s="251" t="s">
        <v>109</v>
      </c>
      <c r="G38" s="394" t="s">
        <v>1058</v>
      </c>
      <c r="H38" s="965">
        <f t="shared" si="48"/>
        <v>0</v>
      </c>
      <c r="I38" s="965">
        <f>SUM(I39,I44,I47)</f>
        <v>0</v>
      </c>
      <c r="J38" s="444"/>
      <c r="K38" s="964"/>
      <c r="W38" s="50">
        <v>23</v>
      </c>
    </row>
    <row r="39" ht="11.5" customHeight="1">
      <c r="F39" s="251" t="s">
        <v>1023</v>
      </c>
      <c r="G39" s="897" t="s">
        <v>1022</v>
      </c>
      <c r="H39" s="965">
        <f t="shared" si="48"/>
        <v>0</v>
      </c>
      <c r="I39" s="965">
        <f>SUM(I40:I43)</f>
        <v>0</v>
      </c>
      <c r="J39" s="444"/>
      <c r="K39" s="964"/>
      <c r="W39" s="50">
        <v>11</v>
      </c>
    </row>
    <row r="40" ht="24" customHeight="1">
      <c r="F40" s="251" t="s">
        <v>1059</v>
      </c>
      <c r="G40" s="967" t="s">
        <v>1060</v>
      </c>
      <c r="H40" s="965">
        <f t="shared" si="48"/>
        <v>0</v>
      </c>
      <c r="I40" s="966"/>
      <c r="J40" s="444"/>
      <c r="K40" s="964"/>
      <c r="W40" s="50">
        <v>23</v>
      </c>
    </row>
    <row r="41" ht="11.5" customHeight="1">
      <c r="F41" s="251" t="s">
        <v>1061</v>
      </c>
      <c r="G41" s="967" t="s">
        <v>1062</v>
      </c>
      <c r="H41" s="965">
        <f t="shared" si="48"/>
        <v>0</v>
      </c>
      <c r="I41" s="966"/>
      <c r="J41" s="444"/>
      <c r="K41" s="964"/>
      <c r="W41" s="50">
        <v>11</v>
      </c>
    </row>
    <row r="42" ht="11.5" customHeight="1">
      <c r="F42" s="251" t="s">
        <v>1063</v>
      </c>
      <c r="G42" s="967" t="s">
        <v>1064</v>
      </c>
      <c r="H42" s="965">
        <f t="shared" si="48"/>
        <v>0</v>
      </c>
      <c r="I42" s="966"/>
      <c r="J42" s="444"/>
      <c r="K42" s="964"/>
      <c r="W42" s="50">
        <v>11</v>
      </c>
    </row>
    <row r="43" ht="35.649999999999999" customHeight="1">
      <c r="F43" s="251" t="s">
        <v>1065</v>
      </c>
      <c r="G43" s="967" t="s">
        <v>1066</v>
      </c>
      <c r="H43" s="965">
        <f t="shared" si="48"/>
        <v>0</v>
      </c>
      <c r="I43" s="966"/>
      <c r="J43" s="444"/>
      <c r="K43" s="964"/>
      <c r="W43" s="50">
        <v>34</v>
      </c>
    </row>
    <row r="44" ht="11.5" customHeight="1">
      <c r="F44" s="251" t="s">
        <v>1025</v>
      </c>
      <c r="G44" s="897" t="s">
        <v>1051</v>
      </c>
      <c r="H44" s="965">
        <f t="shared" si="48"/>
        <v>0</v>
      </c>
      <c r="I44" s="965">
        <f>SUM(I45:I46)</f>
        <v>0</v>
      </c>
      <c r="J44" s="444"/>
      <c r="K44" s="964"/>
      <c r="W44" s="50">
        <v>11</v>
      </c>
    </row>
    <row r="45" ht="48.25" customHeight="1">
      <c r="F45" s="251" t="s">
        <v>1067</v>
      </c>
      <c r="G45" s="967" t="s">
        <v>1052</v>
      </c>
      <c r="H45" s="965">
        <f t="shared" si="48"/>
        <v>0</v>
      </c>
      <c r="I45" s="966"/>
      <c r="J45" s="444"/>
      <c r="K45" s="964"/>
      <c r="W45" s="50">
        <v>46</v>
      </c>
    </row>
    <row r="46" ht="11.5" customHeight="1">
      <c r="F46" s="251" t="s">
        <v>1068</v>
      </c>
      <c r="G46" s="967" t="s">
        <v>1053</v>
      </c>
      <c r="H46" s="965">
        <f t="shared" si="48"/>
        <v>0</v>
      </c>
      <c r="I46" s="966"/>
      <c r="J46" s="444"/>
      <c r="K46" s="964"/>
      <c r="W46" s="50">
        <v>11</v>
      </c>
    </row>
    <row r="47" ht="11.5" customHeight="1">
      <c r="F47" s="251" t="s">
        <v>1027</v>
      </c>
      <c r="G47" s="897" t="s">
        <v>1069</v>
      </c>
      <c r="H47" s="965">
        <f t="shared" si="48"/>
        <v>0</v>
      </c>
      <c r="I47" s="966"/>
      <c r="J47" s="444"/>
      <c r="K47" s="964"/>
      <c r="W47" s="50">
        <v>11</v>
      </c>
    </row>
    <row r="48" ht="24" customHeight="1">
      <c r="F48" s="251" t="s">
        <v>110</v>
      </c>
      <c r="G48" s="394" t="s">
        <v>1070</v>
      </c>
      <c r="H48" s="965">
        <f t="shared" si="48"/>
        <v>0</v>
      </c>
      <c r="I48" s="965">
        <f>SUM(I49,I54,I57)</f>
        <v>0</v>
      </c>
      <c r="J48" s="444"/>
      <c r="K48" s="964"/>
      <c r="W48" s="50">
        <v>23</v>
      </c>
    </row>
    <row r="49" ht="11.5" customHeight="1">
      <c r="F49" s="251" t="s">
        <v>710</v>
      </c>
      <c r="G49" s="897" t="s">
        <v>1022</v>
      </c>
      <c r="H49" s="965">
        <f t="shared" si="48"/>
        <v>0</v>
      </c>
      <c r="I49" s="965">
        <f>SUM(I50:I53)</f>
        <v>0</v>
      </c>
      <c r="J49" s="444"/>
      <c r="K49" s="964"/>
      <c r="W49" s="50">
        <v>11</v>
      </c>
    </row>
    <row r="50" ht="24" customHeight="1">
      <c r="F50" s="251" t="s">
        <v>713</v>
      </c>
      <c r="G50" s="967" t="s">
        <v>1060</v>
      </c>
      <c r="H50" s="965">
        <f t="shared" si="48"/>
        <v>0</v>
      </c>
      <c r="I50" s="966"/>
      <c r="J50" s="444"/>
      <c r="K50" s="964"/>
      <c r="W50" s="50">
        <v>23</v>
      </c>
    </row>
    <row r="51" ht="11.5" customHeight="1">
      <c r="F51" s="251" t="s">
        <v>716</v>
      </c>
      <c r="G51" s="967" t="s">
        <v>1062</v>
      </c>
      <c r="H51" s="965">
        <f t="shared" si="48"/>
        <v>0</v>
      </c>
      <c r="I51" s="966"/>
      <c r="J51" s="444"/>
      <c r="K51" s="964"/>
      <c r="W51" s="50">
        <v>11</v>
      </c>
    </row>
    <row r="52" ht="11.5" customHeight="1">
      <c r="F52" s="251" t="s">
        <v>1071</v>
      </c>
      <c r="G52" s="967" t="s">
        <v>1064</v>
      </c>
      <c r="H52" s="965">
        <f t="shared" si="48"/>
        <v>0</v>
      </c>
      <c r="I52" s="966"/>
      <c r="J52" s="444"/>
      <c r="K52" s="964"/>
      <c r="W52" s="50">
        <v>11</v>
      </c>
    </row>
    <row r="53" ht="35.649999999999999" customHeight="1">
      <c r="F53" s="251" t="s">
        <v>1072</v>
      </c>
      <c r="G53" s="967" t="s">
        <v>1066</v>
      </c>
      <c r="H53" s="965">
        <f t="shared" si="48"/>
        <v>0</v>
      </c>
      <c r="I53" s="966"/>
      <c r="J53" s="444"/>
      <c r="K53" s="964"/>
      <c r="W53" s="50">
        <v>34</v>
      </c>
    </row>
    <row r="54" ht="11.5" customHeight="1">
      <c r="F54" s="251" t="s">
        <v>309</v>
      </c>
      <c r="G54" s="897" t="s">
        <v>1051</v>
      </c>
      <c r="H54" s="965">
        <f t="shared" si="48"/>
        <v>0</v>
      </c>
      <c r="I54" s="965">
        <f>SUM(I55:I56)</f>
        <v>0</v>
      </c>
      <c r="J54" s="444"/>
      <c r="K54" s="964"/>
      <c r="W54" s="50">
        <v>11</v>
      </c>
    </row>
    <row r="55" ht="48.25" customHeight="1">
      <c r="F55" s="251" t="s">
        <v>720</v>
      </c>
      <c r="G55" s="967" t="s">
        <v>1052</v>
      </c>
      <c r="H55" s="965">
        <f t="shared" si="48"/>
        <v>0</v>
      </c>
      <c r="I55" s="966"/>
      <c r="J55" s="444"/>
      <c r="K55" s="964"/>
      <c r="W55" s="50">
        <v>46</v>
      </c>
    </row>
    <row r="56" ht="11.5" customHeight="1">
      <c r="F56" s="251" t="s">
        <v>722</v>
      </c>
      <c r="G56" s="967" t="s">
        <v>1053</v>
      </c>
      <c r="H56" s="965">
        <f t="shared" si="48"/>
        <v>0</v>
      </c>
      <c r="I56" s="966"/>
      <c r="J56" s="444"/>
      <c r="K56" s="964"/>
      <c r="W56" s="50">
        <v>11</v>
      </c>
    </row>
    <row r="57" ht="11.5" customHeight="1">
      <c r="F57" s="251" t="s">
        <v>312</v>
      </c>
      <c r="G57" s="897" t="s">
        <v>1069</v>
      </c>
      <c r="H57" s="965">
        <f t="shared" si="48"/>
        <v>0</v>
      </c>
      <c r="I57" s="966"/>
      <c r="J57" s="444"/>
      <c r="K57" s="964"/>
      <c r="W57" s="50">
        <v>11</v>
      </c>
    </row>
    <row r="58" ht="11.5" customHeight="1">
      <c r="F58" s="251"/>
      <c r="G58" s="379" t="s">
        <v>1055</v>
      </c>
      <c r="H58" s="965">
        <f t="shared" si="48"/>
        <v>0</v>
      </c>
      <c r="I58" s="965">
        <f>SUM(I38,I48)</f>
        <v>0</v>
      </c>
      <c r="J58" s="444"/>
      <c r="K58" s="964"/>
      <c r="W58" s="50">
        <v>11</v>
      </c>
    </row>
    <row r="59" ht="10.5" hidden="1" customHeight="1">
      <c r="A59" s="124" t="s">
        <v>82</v>
      </c>
      <c r="B59" s="124">
        <v>0</v>
      </c>
      <c r="C59" s="124">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0" deleteRows="0" formatCells="1" formatColumns="0" formatRows="0" insertColumns="1" insertHyperlinks="1" insertRows="0" pivotTables="1" selectLockedCells="0" selectUnlockedCells="0" sheet="0" sort="0"/>
  <mergeCells count="9">
    <mergeCell ref="F5:J5"/>
    <mergeCell ref="F6:J6"/>
    <mergeCell ref="F9:J9"/>
    <mergeCell ref="G14:J14"/>
    <mergeCell ref="G37:J37"/>
    <mergeCell ref="F10:F12"/>
    <mergeCell ref="H10:J10"/>
    <mergeCell ref="H11:J11"/>
    <mergeCell ref="G10:G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A500B6-00B5-4DC9-A989-002D002400B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68" width="4.7109375"/>
    <col customWidth="1" hidden="1" min="2" max="2" style="969" width="4.7109375"/>
    <col customWidth="1" hidden="1" min="3" max="4" style="968" width="4.7109375"/>
    <col customWidth="1" min="5" max="5" style="968" width="3.00390625"/>
    <col customWidth="1" min="6" max="6" style="968" width="6.00390625"/>
    <col customWidth="1" min="7" max="7" style="968" width="18.00390625"/>
    <col customWidth="1" min="8" max="8" style="968" width="27.00390625"/>
    <col customWidth="1" min="9" max="9" style="968" width="18.00390625"/>
    <col customWidth="1" hidden="1" min="10" max="14" style="968" width="0.8515625"/>
    <col customWidth="1" hidden="1" min="15" max="28" style="968" width="21.7109375"/>
    <col customWidth="1" hidden="1" min="29" max="71" style="968" width="0.8515625"/>
    <col customWidth="1" min="72" max="79" style="968" width="21.7109375"/>
    <col customWidth="1" min="80" max="81" style="968" width="29.140625"/>
    <col customWidth="1" min="82" max="89" style="968" width="21.7109375"/>
    <col customWidth="1" min="90" max="102" style="968" width="0.7109375"/>
    <col customWidth="1" hidden="1" min="103" max="114" style="968" width="21.7109375"/>
    <col customWidth="1" hidden="1" min="115" max="178" style="968" width="0.7109375"/>
    <col customWidth="1" min="179" max="179" style="968" width="0.140625"/>
    <col customWidth="1" min="180" max="184" style="968" width="8.00390625"/>
    <col hidden="1" min="185" max="185" style="968" width="9.140625"/>
  </cols>
  <sheetData>
    <row r="1" s="970" customFormat="1" ht="12" hidden="1" customHeight="1">
      <c r="B1" s="971"/>
      <c r="C1" s="970"/>
      <c r="D1" s="970"/>
      <c r="GC1" s="970" t="s">
        <v>14</v>
      </c>
    </row>
    <row r="2" s="970" customFormat="1" ht="12" hidden="1" customHeight="1">
      <c r="B2" s="971"/>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970"/>
      <c r="BK2" s="970"/>
      <c r="BL2" s="970"/>
      <c r="BM2" s="970"/>
      <c r="BN2" s="970"/>
      <c r="BO2" s="970"/>
      <c r="BP2" s="970"/>
      <c r="BQ2" s="970"/>
      <c r="BR2" s="970"/>
      <c r="BS2" s="970"/>
      <c r="BT2" s="970"/>
      <c r="BU2" s="970"/>
      <c r="BV2" s="970"/>
      <c r="BW2" s="970"/>
      <c r="BX2" s="970"/>
      <c r="BY2" s="970"/>
      <c r="BZ2" s="970"/>
      <c r="CA2" s="970"/>
      <c r="CB2" s="970"/>
      <c r="CC2" s="970"/>
      <c r="CD2" s="970"/>
      <c r="CE2" s="970"/>
      <c r="CF2" s="970"/>
      <c r="CG2" s="970"/>
      <c r="CH2" s="970"/>
      <c r="CI2" s="970"/>
      <c r="CJ2" s="970"/>
      <c r="CK2" s="970"/>
      <c r="CL2" s="970"/>
      <c r="CM2" s="970"/>
      <c r="CN2" s="970"/>
      <c r="CO2" s="970"/>
      <c r="CP2" s="970"/>
      <c r="CQ2" s="970"/>
      <c r="CR2" s="970"/>
      <c r="CS2" s="970"/>
      <c r="CT2" s="970"/>
      <c r="CU2" s="970"/>
      <c r="CV2" s="970"/>
      <c r="CW2" s="970"/>
      <c r="CX2" s="970"/>
      <c r="CY2" s="970"/>
      <c r="CZ2" s="970"/>
      <c r="DA2" s="970"/>
      <c r="DB2" s="970"/>
      <c r="DC2" s="970"/>
      <c r="DD2" s="970"/>
      <c r="DE2" s="970"/>
      <c r="DF2" s="970"/>
      <c r="DG2" s="970"/>
      <c r="DH2" s="970"/>
      <c r="DI2" s="970"/>
      <c r="DJ2" s="970"/>
      <c r="DK2" s="970"/>
      <c r="DL2" s="970"/>
      <c r="DM2" s="970"/>
      <c r="DN2" s="970"/>
      <c r="DO2" s="970"/>
      <c r="DP2" s="970"/>
      <c r="DQ2" s="970"/>
      <c r="DR2" s="970"/>
      <c r="DS2" s="970"/>
      <c r="DT2" s="970"/>
      <c r="DU2" s="970"/>
      <c r="DV2" s="970"/>
      <c r="DW2" s="970"/>
      <c r="DX2" s="970"/>
      <c r="DY2" s="970"/>
      <c r="DZ2" s="970"/>
      <c r="EA2" s="970"/>
      <c r="EB2" s="970"/>
      <c r="EC2" s="970"/>
      <c r="ED2" s="970"/>
      <c r="EE2" s="970"/>
      <c r="EF2" s="970"/>
      <c r="EG2" s="970"/>
      <c r="EH2" s="970"/>
      <c r="EI2" s="970"/>
      <c r="EJ2" s="970"/>
      <c r="EK2" s="970"/>
      <c r="EL2" s="970"/>
      <c r="EM2" s="970"/>
      <c r="EN2" s="970"/>
      <c r="EO2" s="970"/>
      <c r="EP2" s="970"/>
      <c r="EQ2" s="970"/>
      <c r="ER2" s="970"/>
      <c r="ES2" s="970"/>
      <c r="ET2" s="970"/>
      <c r="EU2" s="970"/>
      <c r="EV2" s="970"/>
      <c r="EW2" s="970"/>
      <c r="EX2" s="970"/>
      <c r="EY2" s="970"/>
      <c r="EZ2" s="970"/>
      <c r="FA2" s="970"/>
      <c r="FB2" s="970"/>
      <c r="FC2" s="970"/>
      <c r="FD2" s="970"/>
      <c r="FE2" s="970"/>
      <c r="FF2" s="970"/>
      <c r="FG2" s="970"/>
      <c r="FH2" s="970"/>
      <c r="FI2" s="970"/>
      <c r="FJ2" s="970"/>
      <c r="FK2" s="970"/>
      <c r="FL2" s="970"/>
      <c r="FM2" s="970"/>
      <c r="FN2" s="970"/>
      <c r="FO2" s="970"/>
      <c r="FP2" s="970"/>
      <c r="FQ2" s="970"/>
      <c r="FR2" s="970"/>
      <c r="FS2" s="970"/>
      <c r="FT2" s="970"/>
      <c r="FU2" s="970"/>
      <c r="FV2" s="970"/>
      <c r="FW2" s="970"/>
      <c r="GC2" s="970">
        <v>0</v>
      </c>
    </row>
    <row r="3" s="970" customFormat="1" ht="12" hidden="1" customHeight="1">
      <c r="B3" s="971"/>
      <c r="C3" s="970"/>
      <c r="D3" s="970"/>
      <c r="E3" s="970"/>
      <c r="F3" s="970"/>
      <c r="G3" s="970"/>
      <c r="H3" s="970"/>
      <c r="I3" s="970"/>
      <c r="J3" s="970"/>
      <c r="K3" s="970"/>
      <c r="L3" s="970"/>
      <c r="M3" s="970"/>
      <c r="N3" s="970"/>
      <c r="O3" s="970"/>
      <c r="P3" s="970"/>
      <c r="Q3" s="970"/>
      <c r="R3" s="970"/>
      <c r="S3" s="970"/>
      <c r="T3" s="970"/>
      <c r="U3" s="970"/>
      <c r="V3" s="970"/>
      <c r="W3" s="970"/>
      <c r="X3" s="970"/>
      <c r="Y3" s="970"/>
      <c r="Z3" s="970"/>
      <c r="AA3" s="970"/>
      <c r="AB3" s="970"/>
      <c r="AC3" s="970"/>
      <c r="AD3" s="970"/>
      <c r="AE3" s="970"/>
      <c r="AF3" s="970"/>
      <c r="AG3" s="970"/>
      <c r="AH3" s="970"/>
      <c r="AI3" s="970"/>
      <c r="AJ3" s="970"/>
      <c r="AK3" s="970"/>
      <c r="AL3" s="970"/>
      <c r="AM3" s="970"/>
      <c r="AN3" s="970"/>
      <c r="AO3" s="970"/>
      <c r="AP3" s="970"/>
      <c r="AQ3" s="970"/>
      <c r="AR3" s="970"/>
      <c r="AS3" s="970"/>
      <c r="AT3" s="970"/>
      <c r="AU3" s="970"/>
      <c r="AV3" s="970"/>
      <c r="AW3" s="970"/>
      <c r="AX3" s="970"/>
      <c r="AY3" s="970"/>
      <c r="AZ3" s="970"/>
      <c r="BA3" s="970"/>
      <c r="BB3" s="970"/>
      <c r="BC3" s="970"/>
      <c r="BD3" s="970"/>
      <c r="BE3" s="970"/>
      <c r="BF3" s="970"/>
      <c r="BG3" s="970"/>
      <c r="BH3" s="970"/>
      <c r="BI3" s="970"/>
      <c r="BJ3" s="970"/>
      <c r="BK3" s="970"/>
      <c r="BL3" s="970"/>
      <c r="BM3" s="970"/>
      <c r="BN3" s="970"/>
      <c r="BO3" s="970"/>
      <c r="BP3" s="970"/>
      <c r="BQ3" s="970"/>
      <c r="BR3" s="970"/>
      <c r="BS3" s="970"/>
      <c r="BT3" s="970"/>
      <c r="BU3" s="970"/>
      <c r="BV3" s="970"/>
      <c r="BW3" s="970"/>
      <c r="BX3" s="970"/>
      <c r="BY3" s="970"/>
      <c r="BZ3" s="970"/>
      <c r="CA3" s="970"/>
      <c r="CB3" s="970"/>
      <c r="CC3" s="970"/>
      <c r="CD3" s="970"/>
      <c r="CE3" s="970"/>
      <c r="CF3" s="970"/>
      <c r="CG3" s="970"/>
      <c r="CH3" s="970"/>
      <c r="CI3" s="970"/>
      <c r="CJ3" s="970"/>
      <c r="CK3" s="970"/>
      <c r="CL3" s="970"/>
      <c r="CM3" s="970"/>
      <c r="CN3" s="970"/>
      <c r="CO3" s="970"/>
      <c r="CP3" s="970"/>
      <c r="CQ3" s="970"/>
      <c r="CR3" s="970"/>
      <c r="CS3" s="970"/>
      <c r="CT3" s="970"/>
      <c r="CU3" s="970"/>
      <c r="CV3" s="970"/>
      <c r="CW3" s="970"/>
      <c r="CX3" s="970"/>
      <c r="CY3" s="970"/>
      <c r="CZ3" s="970"/>
      <c r="DA3" s="970"/>
      <c r="DB3" s="970"/>
      <c r="DC3" s="970"/>
      <c r="DD3" s="970"/>
      <c r="DE3" s="970"/>
      <c r="DF3" s="970"/>
      <c r="DG3" s="970"/>
      <c r="DH3" s="970"/>
      <c r="DI3" s="970"/>
      <c r="DJ3" s="970"/>
      <c r="DK3" s="970"/>
      <c r="DL3" s="970"/>
      <c r="DM3" s="970"/>
      <c r="DN3" s="970"/>
      <c r="DO3" s="970"/>
      <c r="DP3" s="970"/>
      <c r="DQ3" s="970"/>
      <c r="DR3" s="970"/>
      <c r="DS3" s="970"/>
      <c r="DT3" s="970"/>
      <c r="DU3" s="970"/>
      <c r="DV3" s="970"/>
      <c r="DW3" s="970"/>
      <c r="DX3" s="970"/>
      <c r="DY3" s="970"/>
      <c r="DZ3" s="970"/>
      <c r="EA3" s="970"/>
      <c r="EB3" s="970"/>
      <c r="EC3" s="970"/>
      <c r="ED3" s="970"/>
      <c r="EE3" s="970"/>
      <c r="EF3" s="970"/>
      <c r="EG3" s="970"/>
      <c r="EH3" s="970"/>
      <c r="EI3" s="970"/>
      <c r="EJ3" s="970"/>
      <c r="EK3" s="970"/>
      <c r="EL3" s="970"/>
      <c r="EM3" s="970"/>
      <c r="EN3" s="970"/>
      <c r="EO3" s="970"/>
      <c r="EP3" s="970"/>
      <c r="EQ3" s="970"/>
      <c r="ER3" s="970"/>
      <c r="ES3" s="970"/>
      <c r="ET3" s="970"/>
      <c r="EU3" s="970"/>
      <c r="EV3" s="970"/>
      <c r="EW3" s="970"/>
      <c r="EX3" s="970"/>
      <c r="EY3" s="970"/>
      <c r="EZ3" s="970"/>
      <c r="FA3" s="970"/>
      <c r="FB3" s="970"/>
      <c r="FC3" s="970"/>
      <c r="FD3" s="970"/>
      <c r="FE3" s="970"/>
      <c r="FF3" s="970"/>
      <c r="FG3" s="970"/>
      <c r="FH3" s="970"/>
      <c r="FI3" s="970"/>
      <c r="FJ3" s="970"/>
      <c r="FK3" s="970"/>
      <c r="FL3" s="970"/>
      <c r="FM3" s="970"/>
      <c r="FN3" s="970"/>
      <c r="FO3" s="970"/>
      <c r="FP3" s="970"/>
      <c r="FQ3" s="970"/>
      <c r="FR3" s="970"/>
      <c r="FS3" s="970"/>
      <c r="FT3" s="970"/>
      <c r="FU3" s="970"/>
      <c r="FV3" s="970"/>
      <c r="FW3" s="970"/>
      <c r="GC3" s="970">
        <v>0</v>
      </c>
    </row>
    <row r="4" ht="10.5" customHeight="1">
      <c r="B4" s="969"/>
      <c r="C4" s="968"/>
      <c r="D4" s="968"/>
      <c r="E4" s="968"/>
      <c r="F4" s="968"/>
      <c r="G4" s="968"/>
      <c r="H4" s="972"/>
      <c r="I4" s="972"/>
      <c r="J4" s="972"/>
      <c r="K4" s="972"/>
      <c r="L4" s="972"/>
      <c r="M4" s="968"/>
      <c r="N4" s="968"/>
      <c r="O4" s="968"/>
      <c r="P4" s="968"/>
      <c r="Q4" s="968"/>
      <c r="R4" s="968"/>
      <c r="S4" s="968"/>
      <c r="T4" s="968"/>
      <c r="U4" s="968"/>
      <c r="V4" s="968"/>
      <c r="W4" s="968"/>
      <c r="X4" s="968"/>
      <c r="Y4" s="968"/>
      <c r="Z4" s="968"/>
      <c r="AA4" s="968"/>
      <c r="AB4" s="968"/>
      <c r="AC4" s="968"/>
      <c r="AD4" s="968"/>
      <c r="AE4" s="968"/>
      <c r="AF4" s="968"/>
      <c r="AG4" s="968"/>
      <c r="AH4" s="968"/>
      <c r="AI4" s="968"/>
      <c r="AJ4" s="968"/>
      <c r="AK4" s="968"/>
      <c r="AL4" s="968"/>
      <c r="AM4" s="968"/>
      <c r="AN4" s="968"/>
      <c r="AO4" s="968"/>
      <c r="AP4" s="968"/>
      <c r="AQ4" s="968"/>
      <c r="AR4" s="968"/>
      <c r="AS4" s="968"/>
      <c r="AT4" s="968"/>
      <c r="AU4" s="968"/>
      <c r="AV4" s="968"/>
      <c r="AW4" s="968"/>
      <c r="AX4" s="968"/>
      <c r="AY4" s="968"/>
      <c r="AZ4" s="968"/>
      <c r="BA4" s="968"/>
      <c r="BB4" s="968"/>
      <c r="BC4" s="968"/>
      <c r="BD4" s="968"/>
      <c r="BE4" s="968"/>
      <c r="BF4" s="968"/>
      <c r="BG4" s="968"/>
      <c r="BH4" s="968"/>
      <c r="BI4" s="968"/>
      <c r="BJ4" s="968"/>
      <c r="BK4" s="968"/>
      <c r="BL4" s="968"/>
      <c r="BM4" s="968"/>
      <c r="BN4" s="968"/>
      <c r="BO4" s="968"/>
      <c r="BP4" s="968"/>
      <c r="BQ4" s="968"/>
      <c r="BR4" s="968"/>
      <c r="BS4" s="968"/>
      <c r="BT4" s="968"/>
      <c r="BU4" s="968"/>
      <c r="BV4" s="968"/>
      <c r="BW4" s="968"/>
      <c r="BX4" s="968"/>
      <c r="BY4" s="968"/>
      <c r="BZ4" s="968"/>
      <c r="CA4" s="968"/>
      <c r="CB4" s="968"/>
      <c r="CC4" s="968"/>
      <c r="CD4" s="968"/>
      <c r="CE4" s="968"/>
      <c r="CF4" s="968"/>
      <c r="CG4" s="968"/>
      <c r="CH4" s="968"/>
      <c r="CI4" s="968"/>
      <c r="CJ4" s="968"/>
      <c r="CK4" s="968"/>
      <c r="CL4" s="968"/>
      <c r="CM4" s="968"/>
      <c r="CN4" s="968"/>
      <c r="CO4" s="968"/>
      <c r="CP4" s="968"/>
      <c r="CQ4" s="968"/>
      <c r="CR4" s="968"/>
      <c r="CS4" s="968"/>
      <c r="CT4" s="968"/>
      <c r="CU4" s="968"/>
      <c r="CV4" s="968"/>
      <c r="CW4" s="968"/>
      <c r="CX4" s="968"/>
      <c r="CY4" s="968"/>
      <c r="CZ4" s="968"/>
      <c r="DA4" s="968"/>
      <c r="DB4" s="968"/>
      <c r="DC4" s="968"/>
      <c r="DD4" s="968"/>
      <c r="DE4" s="968"/>
      <c r="DF4" s="968"/>
      <c r="DG4" s="968"/>
      <c r="DH4" s="968"/>
      <c r="DI4" s="968"/>
      <c r="DJ4" s="968"/>
      <c r="DK4" s="968"/>
      <c r="DL4" s="968"/>
      <c r="DM4" s="968"/>
      <c r="DN4" s="968"/>
      <c r="DO4" s="968"/>
      <c r="DP4" s="968"/>
      <c r="DQ4" s="968"/>
      <c r="DR4" s="968"/>
      <c r="DS4" s="968"/>
      <c r="DT4" s="968"/>
      <c r="DU4" s="968"/>
      <c r="DV4" s="968"/>
      <c r="DW4" s="968"/>
      <c r="DX4" s="968"/>
      <c r="DY4" s="968"/>
      <c r="DZ4" s="968"/>
      <c r="EA4" s="968"/>
      <c r="EB4" s="968"/>
      <c r="EC4" s="968"/>
      <c r="ED4" s="968"/>
      <c r="EE4" s="968"/>
      <c r="EF4" s="968"/>
      <c r="EG4" s="968"/>
      <c r="EH4" s="968"/>
      <c r="EI4" s="968"/>
      <c r="EJ4" s="968"/>
      <c r="EK4" s="968"/>
      <c r="EL4" s="968"/>
      <c r="EM4" s="968"/>
      <c r="EN4" s="968"/>
      <c r="EO4" s="968"/>
      <c r="EP4" s="968"/>
      <c r="EQ4" s="968"/>
      <c r="ER4" s="968"/>
      <c r="ES4" s="968"/>
      <c r="ET4" s="968"/>
      <c r="EU4" s="968"/>
      <c r="EV4" s="968"/>
      <c r="EW4" s="968"/>
      <c r="EX4" s="968"/>
      <c r="EY4" s="968"/>
      <c r="EZ4" s="968"/>
      <c r="FA4" s="968"/>
      <c r="FB4" s="968"/>
      <c r="FC4" s="968"/>
      <c r="FD4" s="968"/>
      <c r="FE4" s="968"/>
      <c r="FF4" s="968"/>
      <c r="FG4" s="968"/>
      <c r="FH4" s="968"/>
      <c r="FI4" s="968"/>
      <c r="FJ4" s="968"/>
      <c r="FK4" s="968"/>
      <c r="FL4" s="968"/>
      <c r="FM4" s="968"/>
      <c r="FN4" s="968"/>
      <c r="FO4" s="968"/>
      <c r="FP4" s="968"/>
      <c r="FQ4" s="968"/>
      <c r="FR4" s="968"/>
      <c r="FS4" s="968"/>
      <c r="FT4" s="968"/>
      <c r="FU4" s="968"/>
      <c r="FV4" s="968"/>
      <c r="FW4" s="968"/>
      <c r="GC4" s="968">
        <v>10</v>
      </c>
    </row>
    <row r="5" s="772" customFormat="1" ht="27.300000000000001" customHeight="1">
      <c r="B5" s="973"/>
      <c r="E5" s="974"/>
      <c r="F5" s="975"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GC5" s="772">
        <v>26</v>
      </c>
    </row>
    <row r="6" s="125" customFormat="1" ht="18.75" customHeight="1">
      <c r="B6" s="831"/>
      <c r="E6" s="374"/>
      <c r="F6" s="422" t="str">
        <f>IF(org=0,"Не определено",org)</f>
        <v xml:space="preserve">филиал Пермская ГРЭС АО "Интер РАО - Электрогенерация"</v>
      </c>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GC6" s="125">
        <v>18</v>
      </c>
    </row>
    <row r="7" s="976" customFormat="1" ht="10.5" customHeight="1">
      <c r="B7" s="977"/>
      <c r="E7" s="976"/>
      <c r="F7" s="976"/>
      <c r="G7" s="978"/>
      <c r="H7" s="972"/>
      <c r="I7" s="972"/>
      <c r="J7" s="972"/>
      <c r="K7" s="972"/>
      <c r="L7" s="972"/>
      <c r="M7" s="976"/>
      <c r="N7" s="976"/>
      <c r="O7" s="976"/>
      <c r="P7" s="976"/>
      <c r="Q7" s="976"/>
      <c r="R7" s="976"/>
      <c r="S7" s="976"/>
      <c r="T7" s="976"/>
      <c r="U7" s="976"/>
      <c r="V7" s="976"/>
      <c r="W7" s="976"/>
      <c r="X7" s="976"/>
      <c r="Y7" s="976"/>
      <c r="Z7" s="976"/>
      <c r="AA7" s="976"/>
      <c r="AB7" s="976"/>
      <c r="AC7" s="976"/>
      <c r="AD7" s="976"/>
      <c r="AE7" s="976"/>
      <c r="AF7" s="976"/>
      <c r="AG7" s="976"/>
      <c r="AH7" s="976"/>
      <c r="AI7" s="976"/>
      <c r="AJ7" s="976"/>
      <c r="AK7" s="976"/>
      <c r="AL7" s="976"/>
      <c r="AM7" s="976"/>
      <c r="AN7" s="976"/>
      <c r="AO7" s="976"/>
      <c r="AP7" s="976"/>
      <c r="AQ7" s="976"/>
      <c r="AR7" s="976"/>
      <c r="AS7" s="976"/>
      <c r="AT7" s="976"/>
      <c r="AU7" s="976"/>
      <c r="AV7" s="976"/>
      <c r="AW7" s="976"/>
      <c r="AX7" s="976"/>
      <c r="AY7" s="976"/>
      <c r="AZ7" s="976"/>
      <c r="BA7" s="976"/>
      <c r="BB7" s="976"/>
      <c r="BC7" s="976"/>
      <c r="BD7" s="976"/>
      <c r="BE7" s="976"/>
      <c r="BF7" s="976"/>
      <c r="BG7" s="976"/>
      <c r="BH7" s="976"/>
      <c r="BI7" s="976"/>
      <c r="BJ7" s="976"/>
      <c r="BK7" s="976"/>
      <c r="BL7" s="976"/>
      <c r="BM7" s="976"/>
      <c r="BN7" s="976"/>
      <c r="BO7" s="976"/>
      <c r="BP7" s="976"/>
      <c r="BQ7" s="976"/>
      <c r="BR7" s="976"/>
      <c r="BS7" s="976"/>
      <c r="BT7" s="976"/>
      <c r="BU7" s="976"/>
      <c r="BV7" s="976"/>
      <c r="BW7" s="976"/>
      <c r="BX7" s="976"/>
      <c r="BY7" s="976"/>
      <c r="BZ7" s="976"/>
      <c r="CA7" s="976"/>
      <c r="CB7" s="976"/>
      <c r="CC7" s="976"/>
      <c r="CD7" s="976"/>
      <c r="CE7" s="976"/>
      <c r="CF7" s="976"/>
      <c r="CG7" s="976"/>
      <c r="CH7" s="976"/>
      <c r="CI7" s="976"/>
      <c r="CJ7" s="976"/>
      <c r="CK7" s="976"/>
      <c r="CL7" s="976"/>
      <c r="CM7" s="976"/>
      <c r="CN7" s="976"/>
      <c r="CO7" s="976"/>
      <c r="CP7" s="976"/>
      <c r="CQ7" s="976"/>
      <c r="CR7" s="976"/>
      <c r="CS7" s="976"/>
      <c r="CT7" s="976"/>
      <c r="CU7" s="976"/>
      <c r="CV7" s="976"/>
      <c r="CW7" s="976"/>
      <c r="CX7" s="976"/>
      <c r="CY7" s="976"/>
      <c r="CZ7" s="976"/>
      <c r="DA7" s="976"/>
      <c r="DB7" s="976"/>
      <c r="DC7" s="976"/>
      <c r="DD7" s="976"/>
      <c r="DE7" s="976"/>
      <c r="DF7" s="976"/>
      <c r="DG7" s="976"/>
      <c r="DH7" s="976"/>
      <c r="DI7" s="976"/>
      <c r="DJ7" s="976"/>
      <c r="DK7" s="976"/>
      <c r="DL7" s="976"/>
      <c r="DM7" s="976"/>
      <c r="DN7" s="976"/>
      <c r="DO7" s="976"/>
      <c r="DP7" s="976"/>
      <c r="DQ7" s="976"/>
      <c r="DR7" s="976"/>
      <c r="DS7" s="976"/>
      <c r="DT7" s="976"/>
      <c r="DU7" s="976"/>
      <c r="DV7" s="976"/>
      <c r="DW7" s="976"/>
      <c r="DX7" s="976"/>
      <c r="DY7" s="976"/>
      <c r="DZ7" s="976"/>
      <c r="EA7" s="976"/>
      <c r="EB7" s="976"/>
      <c r="EC7" s="976"/>
      <c r="ED7" s="976"/>
      <c r="EE7" s="976"/>
      <c r="EF7" s="976"/>
      <c r="EG7" s="976"/>
      <c r="EH7" s="976"/>
      <c r="EI7" s="976"/>
      <c r="EJ7" s="976"/>
      <c r="EK7" s="976"/>
      <c r="EL7" s="976"/>
      <c r="EM7" s="976"/>
      <c r="EN7" s="976"/>
      <c r="EO7" s="976"/>
      <c r="EP7" s="976"/>
      <c r="EQ7" s="976"/>
      <c r="ER7" s="976"/>
      <c r="ES7" s="976"/>
      <c r="ET7" s="976"/>
      <c r="EU7" s="976"/>
      <c r="EV7" s="976"/>
      <c r="EW7" s="976"/>
      <c r="EX7" s="976"/>
      <c r="EY7" s="976"/>
      <c r="EZ7" s="976"/>
      <c r="FA7" s="976"/>
      <c r="FB7" s="976"/>
      <c r="FC7" s="976"/>
      <c r="FD7" s="976"/>
      <c r="FE7" s="976"/>
      <c r="FF7" s="976"/>
      <c r="FG7" s="976"/>
      <c r="FH7" s="976"/>
      <c r="FI7" s="976"/>
      <c r="FJ7" s="976"/>
      <c r="FK7" s="976"/>
      <c r="FL7" s="976"/>
      <c r="FM7" s="976"/>
      <c r="FN7" s="976"/>
      <c r="FO7" s="976"/>
      <c r="FP7" s="976"/>
      <c r="FQ7" s="976"/>
      <c r="FR7" s="976"/>
      <c r="FS7" s="976"/>
      <c r="FT7" s="976"/>
      <c r="FU7" s="976"/>
      <c r="FV7" s="976"/>
      <c r="FW7" s="976"/>
      <c r="GC7" s="976">
        <v>10</v>
      </c>
    </row>
    <row r="8" s="976" customFormat="1" ht="11.25" hidden="1" customHeight="1">
      <c r="B8" s="977"/>
      <c r="F8" s="125"/>
      <c r="G8" s="51"/>
      <c r="H8" s="143"/>
      <c r="I8" s="143"/>
      <c r="J8" s="143"/>
      <c r="K8" s="143"/>
      <c r="L8" s="143"/>
      <c r="M8" s="125"/>
      <c r="N8" s="125"/>
      <c r="O8" s="979" t="s">
        <v>1073</v>
      </c>
      <c r="P8" s="980"/>
      <c r="Q8" s="980"/>
      <c r="R8" s="980"/>
      <c r="S8" s="980"/>
      <c r="T8" s="980"/>
      <c r="U8" s="980"/>
      <c r="V8" s="980"/>
      <c r="W8" s="980"/>
      <c r="X8" s="980"/>
      <c r="Y8" s="980"/>
      <c r="Z8" s="980"/>
      <c r="AA8" s="980"/>
      <c r="AB8" s="980"/>
      <c r="AC8" s="980"/>
      <c r="AD8" s="980"/>
      <c r="AE8" s="980"/>
      <c r="AF8" s="980"/>
      <c r="AG8" s="980"/>
      <c r="AH8" s="980"/>
      <c r="AI8" s="980"/>
      <c r="AJ8" s="980"/>
      <c r="AK8" s="980"/>
      <c r="AL8" s="980"/>
      <c r="AM8" s="980"/>
      <c r="AN8" s="980"/>
      <c r="AO8" s="980"/>
      <c r="AP8" s="980"/>
      <c r="AQ8" s="980"/>
      <c r="AR8" s="980"/>
      <c r="AS8" s="980"/>
      <c r="AT8" s="980"/>
      <c r="AU8" s="980"/>
      <c r="AV8" s="980"/>
      <c r="AW8" s="980"/>
      <c r="AX8" s="980"/>
      <c r="AY8" s="980"/>
      <c r="AZ8" s="980"/>
      <c r="BA8" s="980"/>
      <c r="BB8" s="980"/>
      <c r="BC8" s="980"/>
      <c r="BD8" s="980"/>
      <c r="BE8" s="980"/>
      <c r="BF8" s="980"/>
      <c r="BG8" s="980"/>
      <c r="BH8" s="980"/>
      <c r="BI8" s="980"/>
      <c r="BJ8" s="980"/>
      <c r="BK8" s="980"/>
      <c r="BL8" s="980"/>
      <c r="BM8" s="980"/>
      <c r="BN8" s="980"/>
      <c r="BO8" s="980"/>
      <c r="BP8" s="980"/>
      <c r="BQ8" s="980"/>
      <c r="BR8" s="980"/>
      <c r="BS8" s="981"/>
      <c r="BT8" s="982"/>
      <c r="BU8" s="983"/>
      <c r="BV8" s="983"/>
      <c r="BW8" s="983"/>
      <c r="BX8" s="983"/>
      <c r="BY8" s="983"/>
      <c r="BZ8" s="983"/>
      <c r="CA8" s="983"/>
      <c r="CB8" s="983"/>
      <c r="CC8" s="983"/>
      <c r="CD8" s="983"/>
      <c r="CE8" s="983"/>
      <c r="CF8" s="983"/>
      <c r="CG8" s="983"/>
      <c r="CH8" s="983"/>
      <c r="CI8" s="983"/>
      <c r="CJ8" s="983"/>
      <c r="CK8" s="983"/>
      <c r="CL8" s="983"/>
      <c r="CM8" s="983"/>
      <c r="CN8" s="983"/>
      <c r="CO8" s="983"/>
      <c r="CP8" s="983"/>
      <c r="CQ8" s="983"/>
      <c r="CR8" s="983"/>
      <c r="CS8" s="983"/>
      <c r="CT8" s="983"/>
      <c r="CU8" s="983"/>
      <c r="CV8" s="983"/>
      <c r="CW8" s="983"/>
      <c r="CX8" s="984"/>
      <c r="CY8" s="985"/>
      <c r="CZ8" s="986"/>
      <c r="DA8" s="986"/>
      <c r="DB8" s="986"/>
      <c r="DC8" s="986"/>
      <c r="DD8" s="986"/>
      <c r="DE8" s="986"/>
      <c r="DF8" s="986"/>
      <c r="DG8" s="986"/>
      <c r="DH8" s="986"/>
      <c r="DI8" s="986"/>
      <c r="DJ8" s="986"/>
      <c r="DK8" s="986"/>
      <c r="DL8" s="986"/>
      <c r="DM8" s="986"/>
      <c r="DN8" s="986"/>
      <c r="DO8" s="986"/>
      <c r="DP8" s="986"/>
      <c r="DQ8" s="986"/>
      <c r="DR8" s="986"/>
      <c r="DS8" s="986"/>
      <c r="DT8" s="986"/>
      <c r="DU8" s="986"/>
      <c r="DV8" s="986"/>
      <c r="DW8" s="986"/>
      <c r="DX8" s="987"/>
      <c r="DY8" s="988" t="s">
        <v>1074</v>
      </c>
      <c r="DZ8" s="989"/>
      <c r="EA8" s="989"/>
      <c r="EB8" s="989"/>
      <c r="EC8" s="989"/>
      <c r="ED8" s="989"/>
      <c r="EE8" s="989"/>
      <c r="EF8" s="989"/>
      <c r="EG8" s="989"/>
      <c r="EH8" s="989"/>
      <c r="EI8" s="989"/>
      <c r="EJ8" s="989"/>
      <c r="EK8" s="989"/>
      <c r="EL8" s="989"/>
      <c r="EM8" s="989"/>
      <c r="EN8" s="989"/>
      <c r="EO8" s="989"/>
      <c r="EP8" s="989"/>
      <c r="EQ8" s="989"/>
      <c r="ER8" s="989"/>
      <c r="ES8" s="989"/>
      <c r="ET8" s="989"/>
      <c r="EU8" s="989"/>
      <c r="EV8" s="989"/>
      <c r="EW8" s="989"/>
      <c r="EX8" s="989"/>
      <c r="EY8" s="989"/>
      <c r="EZ8" s="989"/>
      <c r="FA8" s="989"/>
      <c r="FB8" s="989"/>
      <c r="FC8" s="989"/>
      <c r="FD8" s="989"/>
      <c r="FE8" s="989"/>
      <c r="FF8" s="989"/>
      <c r="FG8" s="989"/>
      <c r="FH8" s="989"/>
      <c r="FI8" s="989"/>
      <c r="FJ8" s="989"/>
      <c r="FK8" s="989"/>
      <c r="FL8" s="989"/>
      <c r="FM8" s="989"/>
      <c r="FN8" s="989"/>
      <c r="FO8" s="989"/>
      <c r="FP8" s="989"/>
      <c r="FQ8" s="989"/>
      <c r="FR8" s="989"/>
      <c r="FS8" s="989"/>
      <c r="FT8" s="989"/>
      <c r="FU8" s="989"/>
      <c r="FV8" s="989"/>
      <c r="FW8" s="990"/>
      <c r="FX8" s="125"/>
      <c r="GC8" s="976">
        <v>0</v>
      </c>
    </row>
    <row r="9" s="976" customFormat="1" ht="11.25" hidden="1" customHeight="1">
      <c r="B9" s="977"/>
      <c r="F9" s="125"/>
      <c r="G9" s="51"/>
      <c r="H9" s="143"/>
      <c r="I9" s="143"/>
      <c r="J9" s="143"/>
      <c r="K9" s="143"/>
      <c r="L9" s="143"/>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125"/>
      <c r="DE9" s="125"/>
      <c r="DF9" s="125"/>
      <c r="DG9" s="125"/>
      <c r="DH9" s="125"/>
      <c r="DI9" s="125"/>
      <c r="DJ9" s="125"/>
      <c r="DK9" s="125"/>
      <c r="DL9" s="125"/>
      <c r="DM9" s="125"/>
      <c r="DN9" s="125"/>
      <c r="DO9" s="125"/>
      <c r="DP9" s="125"/>
      <c r="DQ9" s="125"/>
      <c r="DR9" s="125"/>
      <c r="DS9" s="125"/>
      <c r="DT9" s="125"/>
      <c r="DU9" s="125"/>
      <c r="DV9" s="125"/>
      <c r="DW9" s="125"/>
      <c r="DX9" s="125"/>
      <c r="DY9" s="125"/>
      <c r="DZ9" s="125"/>
      <c r="EA9" s="125"/>
      <c r="EB9" s="125"/>
      <c r="EC9" s="125"/>
      <c r="ED9" s="125"/>
      <c r="EE9" s="125"/>
      <c r="EF9" s="125"/>
      <c r="EG9" s="125"/>
      <c r="EH9" s="125"/>
      <c r="EI9" s="125"/>
      <c r="EJ9" s="125"/>
      <c r="EK9" s="125"/>
      <c r="EL9" s="125"/>
      <c r="EM9" s="125"/>
      <c r="EN9" s="125"/>
      <c r="EO9" s="125"/>
      <c r="EP9" s="125"/>
      <c r="EQ9" s="125"/>
      <c r="ER9" s="125"/>
      <c r="ES9" s="125"/>
      <c r="ET9" s="125"/>
      <c r="EU9" s="125"/>
      <c r="EV9" s="125"/>
      <c r="EW9" s="125"/>
      <c r="EX9" s="125"/>
      <c r="EY9" s="125"/>
      <c r="EZ9" s="125"/>
      <c r="FA9" s="125"/>
      <c r="FB9" s="125"/>
      <c r="FC9" s="125"/>
      <c r="FD9" s="125"/>
      <c r="FE9" s="125"/>
      <c r="FF9" s="125"/>
      <c r="FG9" s="125"/>
      <c r="FH9" s="125"/>
      <c r="FI9" s="125"/>
      <c r="FJ9" s="125"/>
      <c r="FK9" s="125"/>
      <c r="FL9" s="125"/>
      <c r="FM9" s="125"/>
      <c r="FN9" s="125"/>
      <c r="FO9" s="125"/>
      <c r="FP9" s="125"/>
      <c r="FQ9" s="125"/>
      <c r="FR9" s="125"/>
      <c r="FS9" s="125"/>
      <c r="FT9" s="125"/>
      <c r="FU9" s="125"/>
      <c r="FV9" s="125"/>
      <c r="FW9" s="991"/>
      <c r="FX9" s="125"/>
      <c r="GC9" s="976">
        <v>0</v>
      </c>
    </row>
    <row r="10" s="976" customFormat="1" ht="11.5" customHeight="1">
      <c r="B10" s="977"/>
      <c r="F10" s="944" t="s">
        <v>302</v>
      </c>
      <c r="G10" s="992"/>
      <c r="H10" s="992"/>
      <c r="I10" s="992"/>
      <c r="J10" s="992"/>
      <c r="K10" s="992"/>
      <c r="L10" s="992"/>
      <c r="M10" s="992"/>
      <c r="N10" s="992"/>
      <c r="O10" s="992"/>
      <c r="P10" s="992"/>
      <c r="Q10" s="992"/>
      <c r="R10" s="992"/>
      <c r="S10" s="992"/>
      <c r="T10" s="992"/>
      <c r="U10" s="992"/>
      <c r="V10" s="992"/>
      <c r="W10" s="992"/>
      <c r="X10" s="992"/>
      <c r="Y10" s="992"/>
      <c r="Z10" s="992"/>
      <c r="AA10" s="992"/>
      <c r="AB10" s="992"/>
      <c r="AC10" s="992"/>
      <c r="AD10" s="992"/>
      <c r="AE10" s="992"/>
      <c r="AF10" s="992"/>
      <c r="AG10" s="992"/>
      <c r="AH10" s="992"/>
      <c r="AI10" s="992"/>
      <c r="AJ10" s="992"/>
      <c r="AK10" s="992"/>
      <c r="AL10" s="992"/>
      <c r="AM10" s="992"/>
      <c r="AN10" s="992"/>
      <c r="AO10" s="992"/>
      <c r="AP10" s="992"/>
      <c r="AQ10" s="992"/>
      <c r="AR10" s="992"/>
      <c r="AS10" s="992"/>
      <c r="AT10" s="992"/>
      <c r="AU10" s="992"/>
      <c r="AV10" s="992"/>
      <c r="AW10" s="992"/>
      <c r="AX10" s="992"/>
      <c r="AY10" s="992"/>
      <c r="AZ10" s="992"/>
      <c r="BA10" s="992"/>
      <c r="BB10" s="992"/>
      <c r="BC10" s="992"/>
      <c r="BD10" s="992"/>
      <c r="BE10" s="992"/>
      <c r="BF10" s="992"/>
      <c r="BG10" s="992"/>
      <c r="BH10" s="992"/>
      <c r="BI10" s="992"/>
      <c r="BJ10" s="992"/>
      <c r="BK10" s="992"/>
      <c r="BL10" s="992"/>
      <c r="BM10" s="992"/>
      <c r="BN10" s="992"/>
      <c r="BO10" s="992"/>
      <c r="BP10" s="992"/>
      <c r="BQ10" s="992"/>
      <c r="BR10" s="992"/>
      <c r="BS10" s="992"/>
      <c r="BT10" s="992"/>
      <c r="BU10" s="992"/>
      <c r="BV10" s="992"/>
      <c r="BW10" s="992"/>
      <c r="BX10" s="992"/>
      <c r="BY10" s="992"/>
      <c r="BZ10" s="992"/>
      <c r="CA10" s="992"/>
      <c r="CB10" s="992"/>
      <c r="CC10" s="992"/>
      <c r="CD10" s="992"/>
      <c r="CE10" s="992"/>
      <c r="CF10" s="992"/>
      <c r="CG10" s="992"/>
      <c r="CH10" s="992"/>
      <c r="CI10" s="992"/>
      <c r="CJ10" s="992"/>
      <c r="CK10" s="992"/>
      <c r="CL10" s="992"/>
      <c r="CM10" s="992"/>
      <c r="CN10" s="992"/>
      <c r="CO10" s="992"/>
      <c r="CP10" s="992"/>
      <c r="CQ10" s="992"/>
      <c r="CR10" s="992"/>
      <c r="CS10" s="992"/>
      <c r="CT10" s="992"/>
      <c r="CU10" s="992"/>
      <c r="CV10" s="992"/>
      <c r="CW10" s="992"/>
      <c r="CX10" s="992"/>
      <c r="CY10" s="992"/>
      <c r="CZ10" s="992"/>
      <c r="DA10" s="992"/>
      <c r="DB10" s="992"/>
      <c r="DC10" s="992"/>
      <c r="DD10" s="992"/>
      <c r="DE10" s="992"/>
      <c r="DF10" s="992"/>
      <c r="DG10" s="992"/>
      <c r="DH10" s="992"/>
      <c r="DI10" s="992"/>
      <c r="DJ10" s="992"/>
      <c r="DK10" s="992"/>
      <c r="DL10" s="992"/>
      <c r="DM10" s="992"/>
      <c r="DN10" s="992"/>
      <c r="DO10" s="992"/>
      <c r="DP10" s="992"/>
      <c r="DQ10" s="992"/>
      <c r="DR10" s="992"/>
      <c r="DS10" s="992"/>
      <c r="DT10" s="992"/>
      <c r="DU10" s="992"/>
      <c r="DV10" s="992"/>
      <c r="DW10" s="992"/>
      <c r="DX10" s="992"/>
      <c r="DY10" s="992"/>
      <c r="DZ10" s="992"/>
      <c r="EA10" s="992"/>
      <c r="EB10" s="992"/>
      <c r="EC10" s="992"/>
      <c r="ED10" s="992"/>
      <c r="EE10" s="992"/>
      <c r="EF10" s="992"/>
      <c r="EG10" s="992"/>
      <c r="EH10" s="992"/>
      <c r="EI10" s="992"/>
      <c r="EJ10" s="992"/>
      <c r="EK10" s="992"/>
      <c r="EL10" s="992"/>
      <c r="EM10" s="992"/>
      <c r="EN10" s="992"/>
      <c r="EO10" s="992"/>
      <c r="EP10" s="992"/>
      <c r="EQ10" s="992"/>
      <c r="ER10" s="992"/>
      <c r="ES10" s="992"/>
      <c r="ET10" s="992"/>
      <c r="EU10" s="992"/>
      <c r="EV10" s="992"/>
      <c r="EW10" s="992"/>
      <c r="EX10" s="992"/>
      <c r="EY10" s="992"/>
      <c r="EZ10" s="992"/>
      <c r="FA10" s="992"/>
      <c r="FB10" s="992"/>
      <c r="FC10" s="992"/>
      <c r="FD10" s="992"/>
      <c r="FE10" s="992"/>
      <c r="FF10" s="992"/>
      <c r="FG10" s="992"/>
      <c r="FH10" s="992"/>
      <c r="FI10" s="992"/>
      <c r="FJ10" s="992"/>
      <c r="FK10" s="992"/>
      <c r="FL10" s="992"/>
      <c r="FM10" s="992"/>
      <c r="FN10" s="992"/>
      <c r="FO10" s="992"/>
      <c r="FP10" s="992"/>
      <c r="FQ10" s="992"/>
      <c r="FR10" s="992"/>
      <c r="FS10" s="992"/>
      <c r="FT10" s="992"/>
      <c r="FU10" s="992"/>
      <c r="FV10" s="993"/>
      <c r="FW10" s="991"/>
      <c r="FX10" s="125"/>
      <c r="GC10" s="976">
        <v>11</v>
      </c>
    </row>
    <row r="11" ht="12.75" customHeight="1">
      <c r="E11" s="994"/>
      <c r="F11" s="360" t="s">
        <v>88</v>
      </c>
      <c r="G11" s="360" t="s">
        <v>1075</v>
      </c>
      <c r="H11" s="360" t="s">
        <v>1076</v>
      </c>
      <c r="I11" s="360" t="s">
        <v>1077</v>
      </c>
      <c r="J11" s="995"/>
      <c r="K11" s="995"/>
      <c r="L11" s="995"/>
      <c r="M11" s="995"/>
      <c r="N11" s="995"/>
      <c r="O11" s="362" t="s">
        <v>1078</v>
      </c>
      <c r="P11" s="362"/>
      <c r="Q11" s="362"/>
      <c r="R11" s="362"/>
      <c r="S11" s="362"/>
      <c r="T11" s="362"/>
      <c r="U11" s="362"/>
      <c r="V11" s="362"/>
      <c r="W11" s="362"/>
      <c r="X11" s="362"/>
      <c r="Y11" s="362"/>
      <c r="Z11" s="362"/>
      <c r="AA11" s="362"/>
      <c r="AB11" s="362"/>
      <c r="AC11" s="996"/>
      <c r="AD11" s="996"/>
      <c r="AE11" s="996"/>
      <c r="AF11" s="996"/>
      <c r="AG11" s="996"/>
      <c r="AH11" s="996"/>
      <c r="AI11" s="996"/>
      <c r="AJ11" s="996"/>
      <c r="AK11" s="996"/>
      <c r="AL11" s="996"/>
      <c r="AM11" s="996"/>
      <c r="AN11" s="996"/>
      <c r="AO11" s="996"/>
      <c r="AP11" s="996"/>
      <c r="AQ11" s="996"/>
      <c r="AR11" s="996"/>
      <c r="AS11" s="996"/>
      <c r="AT11" s="996"/>
      <c r="AU11" s="996"/>
      <c r="AV11" s="996"/>
      <c r="AW11" s="996"/>
      <c r="AX11" s="996"/>
      <c r="AY11" s="996"/>
      <c r="AZ11" s="996"/>
      <c r="BA11" s="996"/>
      <c r="BB11" s="996"/>
      <c r="BC11" s="996"/>
      <c r="BD11" s="996"/>
      <c r="BE11" s="996"/>
      <c r="BF11" s="996"/>
      <c r="BG11" s="996"/>
      <c r="BH11" s="996"/>
      <c r="BI11" s="996"/>
      <c r="BJ11" s="996"/>
      <c r="BK11" s="996"/>
      <c r="BL11" s="996"/>
      <c r="BM11" s="996"/>
      <c r="BN11" s="996"/>
      <c r="BO11" s="996"/>
      <c r="BP11" s="996"/>
      <c r="BQ11" s="996"/>
      <c r="BR11" s="996"/>
      <c r="BS11" s="997"/>
      <c r="BT11" s="882" t="s">
        <v>1078</v>
      </c>
      <c r="BU11" s="883"/>
      <c r="BV11" s="883"/>
      <c r="BW11" s="883"/>
      <c r="BX11" s="883"/>
      <c r="BY11" s="883"/>
      <c r="BZ11" s="883"/>
      <c r="CA11" s="883"/>
      <c r="CB11" s="883"/>
      <c r="CC11" s="883"/>
      <c r="CD11" s="883"/>
      <c r="CE11" s="883"/>
      <c r="CF11" s="883"/>
      <c r="CG11" s="883"/>
      <c r="CH11" s="883"/>
      <c r="CI11" s="883"/>
      <c r="CJ11" s="883"/>
      <c r="CK11" s="998"/>
      <c r="CL11" s="999"/>
      <c r="CM11" s="996"/>
      <c r="CN11" s="996"/>
      <c r="CO11" s="996"/>
      <c r="CP11" s="996"/>
      <c r="CQ11" s="996"/>
      <c r="CR11" s="996"/>
      <c r="CS11" s="996"/>
      <c r="CT11" s="996"/>
      <c r="CU11" s="996"/>
      <c r="CV11" s="996"/>
      <c r="CW11" s="996"/>
      <c r="CX11" s="997"/>
      <c r="CY11" s="882" t="s">
        <v>1078</v>
      </c>
      <c r="CZ11" s="883"/>
      <c r="DA11" s="883"/>
      <c r="DB11" s="883"/>
      <c r="DC11" s="883"/>
      <c r="DD11" s="883"/>
      <c r="DE11" s="883"/>
      <c r="DF11" s="883"/>
      <c r="DG11" s="883"/>
      <c r="DH11" s="883"/>
      <c r="DI11" s="883"/>
      <c r="DJ11" s="998"/>
      <c r="DK11" s="999"/>
      <c r="DL11" s="996"/>
      <c r="DM11" s="996"/>
      <c r="DN11" s="996"/>
      <c r="DO11" s="996"/>
      <c r="DP11" s="996"/>
      <c r="DQ11" s="996"/>
      <c r="DR11" s="996"/>
      <c r="DS11" s="996"/>
      <c r="DT11" s="996"/>
      <c r="DU11" s="996"/>
      <c r="DV11" s="996"/>
      <c r="DW11" s="996"/>
      <c r="DX11" s="996"/>
      <c r="DY11" s="996"/>
      <c r="DZ11" s="996"/>
      <c r="EA11" s="996"/>
      <c r="EB11" s="996"/>
      <c r="EC11" s="996"/>
      <c r="ED11" s="996"/>
      <c r="EE11" s="996"/>
      <c r="EF11" s="996"/>
      <c r="EG11" s="996"/>
      <c r="EH11" s="996"/>
      <c r="EI11" s="996"/>
      <c r="EJ11" s="996"/>
      <c r="EK11" s="996"/>
      <c r="EL11" s="996"/>
      <c r="EM11" s="996"/>
      <c r="EN11" s="996"/>
      <c r="EO11" s="996"/>
      <c r="EP11" s="996"/>
      <c r="EQ11" s="996"/>
      <c r="ER11" s="996"/>
      <c r="ES11" s="996"/>
      <c r="ET11" s="996"/>
      <c r="EU11" s="996"/>
      <c r="EV11" s="996"/>
      <c r="EW11" s="996"/>
      <c r="EX11" s="996"/>
      <c r="EY11" s="996"/>
      <c r="EZ11" s="996"/>
      <c r="FA11" s="996"/>
      <c r="FB11" s="996"/>
      <c r="FC11" s="996"/>
      <c r="FD11" s="996"/>
      <c r="FE11" s="996"/>
      <c r="FF11" s="996"/>
      <c r="FG11" s="996"/>
      <c r="FH11" s="996"/>
      <c r="FI11" s="996"/>
      <c r="FJ11" s="996"/>
      <c r="FK11" s="996"/>
      <c r="FL11" s="996"/>
      <c r="FM11" s="996"/>
      <c r="FN11" s="996"/>
      <c r="FO11" s="996"/>
      <c r="FP11" s="996"/>
      <c r="FQ11" s="996"/>
      <c r="FR11" s="996"/>
      <c r="FS11" s="996"/>
      <c r="FT11" s="996"/>
      <c r="FU11" s="996"/>
      <c r="FV11" s="996"/>
      <c r="FW11" s="991"/>
      <c r="FX11" s="60"/>
      <c r="GC11" s="968">
        <v>12</v>
      </c>
    </row>
    <row r="12" ht="12.75" customHeight="1">
      <c r="D12" s="972"/>
      <c r="E12" s="994"/>
      <c r="F12" s="360"/>
      <c r="G12" s="360"/>
      <c r="H12" s="360"/>
      <c r="I12" s="360"/>
      <c r="J12" s="995"/>
      <c r="K12" s="995"/>
      <c r="L12" s="995"/>
      <c r="M12" s="995"/>
      <c r="N12" s="995"/>
      <c r="O12" s="362" t="s">
        <v>1079</v>
      </c>
      <c r="P12" s="362"/>
      <c r="Q12" s="362"/>
      <c r="R12" s="362"/>
      <c r="S12" s="362" t="s">
        <v>1080</v>
      </c>
      <c r="T12" s="362"/>
      <c r="U12" s="362"/>
      <c r="V12" s="362"/>
      <c r="W12" s="362"/>
      <c r="X12" s="362"/>
      <c r="Y12" s="362"/>
      <c r="Z12" s="362"/>
      <c r="AA12" s="362"/>
      <c r="AB12" s="362"/>
      <c r="AC12" s="996"/>
      <c r="AD12" s="996"/>
      <c r="AE12" s="996"/>
      <c r="AF12" s="996"/>
      <c r="AG12" s="996"/>
      <c r="AH12" s="996"/>
      <c r="AI12" s="996"/>
      <c r="AJ12" s="996"/>
      <c r="AK12" s="996"/>
      <c r="AL12" s="996"/>
      <c r="AM12" s="996"/>
      <c r="AN12" s="996"/>
      <c r="AO12" s="996"/>
      <c r="AP12" s="996"/>
      <c r="AQ12" s="996"/>
      <c r="AR12" s="996"/>
      <c r="AS12" s="996"/>
      <c r="AT12" s="996"/>
      <c r="AU12" s="996"/>
      <c r="AV12" s="996"/>
      <c r="AW12" s="996"/>
      <c r="AX12" s="996"/>
      <c r="AY12" s="996"/>
      <c r="AZ12" s="996"/>
      <c r="BA12" s="996"/>
      <c r="BB12" s="996"/>
      <c r="BC12" s="996"/>
      <c r="BD12" s="996"/>
      <c r="BE12" s="996"/>
      <c r="BF12" s="996"/>
      <c r="BG12" s="996"/>
      <c r="BH12" s="996"/>
      <c r="BI12" s="996"/>
      <c r="BJ12" s="996"/>
      <c r="BK12" s="996"/>
      <c r="BL12" s="996"/>
      <c r="BM12" s="996"/>
      <c r="BN12" s="996"/>
      <c r="BO12" s="996"/>
      <c r="BP12" s="996"/>
      <c r="BQ12" s="996"/>
      <c r="BR12" s="996"/>
      <c r="BS12" s="997"/>
      <c r="BT12" s="882" t="s">
        <v>1081</v>
      </c>
      <c r="BU12" s="883"/>
      <c r="BV12" s="883"/>
      <c r="BW12" s="998"/>
      <c r="BX12" s="882" t="s">
        <v>1082</v>
      </c>
      <c r="BY12" s="883"/>
      <c r="BZ12" s="883"/>
      <c r="CA12" s="998"/>
      <c r="CB12" s="882" t="s">
        <v>1083</v>
      </c>
      <c r="CC12" s="998"/>
      <c r="CD12" s="882" t="s">
        <v>1084</v>
      </c>
      <c r="CE12" s="883"/>
      <c r="CF12" s="883"/>
      <c r="CG12" s="883"/>
      <c r="CH12" s="883"/>
      <c r="CI12" s="883"/>
      <c r="CJ12" s="883"/>
      <c r="CK12" s="998"/>
      <c r="CL12" s="999"/>
      <c r="CM12" s="996"/>
      <c r="CN12" s="996"/>
      <c r="CO12" s="996"/>
      <c r="CP12" s="996"/>
      <c r="CQ12" s="996"/>
      <c r="CR12" s="996"/>
      <c r="CS12" s="996"/>
      <c r="CT12" s="996"/>
      <c r="CU12" s="996"/>
      <c r="CV12" s="996"/>
      <c r="CW12" s="996"/>
      <c r="CX12" s="997"/>
      <c r="CY12" s="882" t="s">
        <v>1085</v>
      </c>
      <c r="CZ12" s="883"/>
      <c r="DA12" s="883"/>
      <c r="DB12" s="883"/>
      <c r="DC12" s="883"/>
      <c r="DD12" s="998"/>
      <c r="DE12" s="882" t="s">
        <v>1086</v>
      </c>
      <c r="DF12" s="998"/>
      <c r="DG12" s="882" t="s">
        <v>1084</v>
      </c>
      <c r="DH12" s="883"/>
      <c r="DI12" s="883"/>
      <c r="DJ12" s="998"/>
      <c r="DK12" s="999"/>
      <c r="DL12" s="996"/>
      <c r="DM12" s="996"/>
      <c r="DN12" s="996"/>
      <c r="DO12" s="996"/>
      <c r="DP12" s="996"/>
      <c r="DQ12" s="996"/>
      <c r="DR12" s="996"/>
      <c r="DS12" s="996"/>
      <c r="DT12" s="996"/>
      <c r="DU12" s="996"/>
      <c r="DV12" s="996"/>
      <c r="DW12" s="996"/>
      <c r="DX12" s="996"/>
      <c r="DY12" s="996"/>
      <c r="DZ12" s="996"/>
      <c r="EA12" s="996"/>
      <c r="EB12" s="996"/>
      <c r="EC12" s="996"/>
      <c r="ED12" s="996"/>
      <c r="EE12" s="996"/>
      <c r="EF12" s="996"/>
      <c r="EG12" s="996"/>
      <c r="EH12" s="996"/>
      <c r="EI12" s="996"/>
      <c r="EJ12" s="996"/>
      <c r="EK12" s="996"/>
      <c r="EL12" s="996"/>
      <c r="EM12" s="996"/>
      <c r="EN12" s="996"/>
      <c r="EO12" s="996"/>
      <c r="EP12" s="996"/>
      <c r="EQ12" s="996"/>
      <c r="ER12" s="996"/>
      <c r="ES12" s="996"/>
      <c r="ET12" s="996"/>
      <c r="EU12" s="996"/>
      <c r="EV12" s="996"/>
      <c r="EW12" s="996"/>
      <c r="EX12" s="996"/>
      <c r="EY12" s="996"/>
      <c r="EZ12" s="996"/>
      <c r="FA12" s="996"/>
      <c r="FB12" s="996"/>
      <c r="FC12" s="996"/>
      <c r="FD12" s="996"/>
      <c r="FE12" s="996"/>
      <c r="FF12" s="996"/>
      <c r="FG12" s="996"/>
      <c r="FH12" s="996"/>
      <c r="FI12" s="996"/>
      <c r="FJ12" s="996"/>
      <c r="FK12" s="996"/>
      <c r="FL12" s="996"/>
      <c r="FM12" s="996"/>
      <c r="FN12" s="996"/>
      <c r="FO12" s="996"/>
      <c r="FP12" s="996"/>
      <c r="FQ12" s="996"/>
      <c r="FR12" s="996"/>
      <c r="FS12" s="996"/>
      <c r="FT12" s="996"/>
      <c r="FU12" s="996"/>
      <c r="FV12" s="996"/>
      <c r="FW12" s="991"/>
      <c r="FX12" s="60"/>
      <c r="GC12" s="968">
        <v>12</v>
      </c>
    </row>
    <row r="13" ht="37.799999999999997" customHeight="1">
      <c r="D13" s="972"/>
      <c r="E13" s="994"/>
      <c r="F13" s="360"/>
      <c r="G13" s="360"/>
      <c r="H13" s="360"/>
      <c r="I13" s="360"/>
      <c r="J13" s="995"/>
      <c r="K13" s="995"/>
      <c r="L13" s="995"/>
      <c r="M13" s="995"/>
      <c r="N13" s="995"/>
      <c r="O13" s="362" t="s">
        <v>1087</v>
      </c>
      <c r="P13" s="362"/>
      <c r="Q13" s="362"/>
      <c r="R13" s="362"/>
      <c r="S13" s="673" t="s">
        <v>1088</v>
      </c>
      <c r="T13" s="884"/>
      <c r="U13" s="157" t="s">
        <v>1089</v>
      </c>
      <c r="V13" s="157"/>
      <c r="W13" s="157"/>
      <c r="X13" s="157"/>
      <c r="Y13" s="157" t="s">
        <v>1090</v>
      </c>
      <c r="Z13" s="157"/>
      <c r="AA13" s="157"/>
      <c r="AB13" s="157"/>
      <c r="AC13" s="996"/>
      <c r="AD13" s="996"/>
      <c r="AE13" s="996"/>
      <c r="AF13" s="996"/>
      <c r="AG13" s="996"/>
      <c r="AH13" s="996"/>
      <c r="AI13" s="996"/>
      <c r="AJ13" s="996"/>
      <c r="AK13" s="996"/>
      <c r="AL13" s="996"/>
      <c r="AM13" s="996"/>
      <c r="AN13" s="996"/>
      <c r="AO13" s="996"/>
      <c r="AP13" s="996"/>
      <c r="AQ13" s="996"/>
      <c r="AR13" s="996"/>
      <c r="AS13" s="996"/>
      <c r="AT13" s="996"/>
      <c r="AU13" s="996"/>
      <c r="AV13" s="996"/>
      <c r="AW13" s="996"/>
      <c r="AX13" s="996"/>
      <c r="AY13" s="996"/>
      <c r="AZ13" s="996"/>
      <c r="BA13" s="996"/>
      <c r="BB13" s="996"/>
      <c r="BC13" s="996"/>
      <c r="BD13" s="996"/>
      <c r="BE13" s="996"/>
      <c r="BF13" s="996"/>
      <c r="BG13" s="996"/>
      <c r="BH13" s="996"/>
      <c r="BI13" s="996"/>
      <c r="BJ13" s="996"/>
      <c r="BK13" s="996"/>
      <c r="BL13" s="996"/>
      <c r="BM13" s="996"/>
      <c r="BN13" s="996"/>
      <c r="BO13" s="996"/>
      <c r="BP13" s="996"/>
      <c r="BQ13" s="996"/>
      <c r="BR13" s="996"/>
      <c r="BS13" s="997"/>
      <c r="BT13" s="673" t="s">
        <v>1091</v>
      </c>
      <c r="BU13" s="884"/>
      <c r="BV13" s="673" t="s">
        <v>1092</v>
      </c>
      <c r="BW13" s="884"/>
      <c r="BX13" s="673" t="s">
        <v>1093</v>
      </c>
      <c r="BY13" s="884"/>
      <c r="BZ13" s="673" t="s">
        <v>1094</v>
      </c>
      <c r="CA13" s="884"/>
      <c r="CB13" s="673" t="s">
        <v>1095</v>
      </c>
      <c r="CC13" s="884"/>
      <c r="CD13" s="673" t="s">
        <v>1096</v>
      </c>
      <c r="CE13" s="884"/>
      <c r="CF13" s="673" t="s">
        <v>1097</v>
      </c>
      <c r="CG13" s="884"/>
      <c r="CH13" s="882" t="s">
        <v>1098</v>
      </c>
      <c r="CI13" s="883"/>
      <c r="CJ13" s="883"/>
      <c r="CK13" s="998"/>
      <c r="CL13" s="999"/>
      <c r="CM13" s="996"/>
      <c r="CN13" s="996"/>
      <c r="CO13" s="996"/>
      <c r="CP13" s="996"/>
      <c r="CQ13" s="996"/>
      <c r="CR13" s="996"/>
      <c r="CS13" s="996"/>
      <c r="CT13" s="996"/>
      <c r="CU13" s="996"/>
      <c r="CV13" s="996"/>
      <c r="CW13" s="996"/>
      <c r="CX13" s="997"/>
      <c r="CY13" s="673" t="s">
        <v>1099</v>
      </c>
      <c r="CZ13" s="884"/>
      <c r="DA13" s="673" t="s">
        <v>1100</v>
      </c>
      <c r="DB13" s="884"/>
      <c r="DC13" s="673" t="s">
        <v>1101</v>
      </c>
      <c r="DD13" s="884"/>
      <c r="DE13" s="673" t="s">
        <v>1102</v>
      </c>
      <c r="DF13" s="884"/>
      <c r="DG13" s="882" t="s">
        <v>1103</v>
      </c>
      <c r="DH13" s="883"/>
      <c r="DI13" s="883"/>
      <c r="DJ13" s="998"/>
      <c r="DK13" s="999"/>
      <c r="DL13" s="996"/>
      <c r="DM13" s="996"/>
      <c r="DN13" s="996"/>
      <c r="DO13" s="996"/>
      <c r="DP13" s="996"/>
      <c r="DQ13" s="996"/>
      <c r="DR13" s="996"/>
      <c r="DS13" s="996"/>
      <c r="DT13" s="996"/>
      <c r="DU13" s="996"/>
      <c r="DV13" s="996"/>
      <c r="DW13" s="996"/>
      <c r="DX13" s="996"/>
      <c r="DY13" s="996"/>
      <c r="DZ13" s="996"/>
      <c r="EA13" s="996"/>
      <c r="EB13" s="996"/>
      <c r="EC13" s="996"/>
      <c r="ED13" s="996"/>
      <c r="EE13" s="996"/>
      <c r="EF13" s="996"/>
      <c r="EG13" s="996"/>
      <c r="EH13" s="996"/>
      <c r="EI13" s="996"/>
      <c r="EJ13" s="996"/>
      <c r="EK13" s="996"/>
      <c r="EL13" s="996"/>
      <c r="EM13" s="996"/>
      <c r="EN13" s="996"/>
      <c r="EO13" s="996"/>
      <c r="EP13" s="996"/>
      <c r="EQ13" s="996"/>
      <c r="ER13" s="996"/>
      <c r="ES13" s="996"/>
      <c r="ET13" s="996"/>
      <c r="EU13" s="996"/>
      <c r="EV13" s="996"/>
      <c r="EW13" s="996"/>
      <c r="EX13" s="996"/>
      <c r="EY13" s="996"/>
      <c r="EZ13" s="996"/>
      <c r="FA13" s="996"/>
      <c r="FB13" s="996"/>
      <c r="FC13" s="996"/>
      <c r="FD13" s="996"/>
      <c r="FE13" s="996"/>
      <c r="FF13" s="996"/>
      <c r="FG13" s="996"/>
      <c r="FH13" s="996"/>
      <c r="FI13" s="996"/>
      <c r="FJ13" s="996"/>
      <c r="FK13" s="996"/>
      <c r="FL13" s="996"/>
      <c r="FM13" s="996"/>
      <c r="FN13" s="996"/>
      <c r="FO13" s="996"/>
      <c r="FP13" s="996"/>
      <c r="FQ13" s="996"/>
      <c r="FR13" s="996"/>
      <c r="FS13" s="996"/>
      <c r="FT13" s="996"/>
      <c r="FU13" s="996"/>
      <c r="FV13" s="996"/>
      <c r="FW13" s="991"/>
      <c r="FX13" s="60"/>
      <c r="GC13" s="968">
        <v>36</v>
      </c>
    </row>
    <row r="14" ht="37.799999999999997" customHeight="1">
      <c r="D14" s="972"/>
      <c r="E14" s="994"/>
      <c r="F14" s="360"/>
      <c r="G14" s="360"/>
      <c r="H14" s="360"/>
      <c r="I14" s="360"/>
      <c r="J14" s="995"/>
      <c r="K14" s="995"/>
      <c r="L14" s="995"/>
      <c r="M14" s="995"/>
      <c r="N14" s="995"/>
      <c r="O14" s="673" t="s">
        <v>1104</v>
      </c>
      <c r="P14" s="884"/>
      <c r="Q14" s="673" t="s">
        <v>1105</v>
      </c>
      <c r="R14" s="884"/>
      <c r="S14" s="676"/>
      <c r="T14" s="375"/>
      <c r="U14" s="673" t="s">
        <v>837</v>
      </c>
      <c r="V14" s="884"/>
      <c r="W14" s="673" t="s">
        <v>840</v>
      </c>
      <c r="X14" s="884"/>
      <c r="Y14" s="673" t="s">
        <v>837</v>
      </c>
      <c r="Z14" s="884"/>
      <c r="AA14" s="673" t="s">
        <v>847</v>
      </c>
      <c r="AB14" s="884"/>
      <c r="AC14" s="996"/>
      <c r="AD14" s="996"/>
      <c r="AE14" s="996"/>
      <c r="AF14" s="996"/>
      <c r="AG14" s="996"/>
      <c r="AH14" s="996"/>
      <c r="AI14" s="996"/>
      <c r="AJ14" s="996"/>
      <c r="AK14" s="996"/>
      <c r="AL14" s="996"/>
      <c r="AM14" s="996"/>
      <c r="AN14" s="996"/>
      <c r="AO14" s="996"/>
      <c r="AP14" s="996"/>
      <c r="AQ14" s="996"/>
      <c r="AR14" s="996"/>
      <c r="AS14" s="996"/>
      <c r="AT14" s="996"/>
      <c r="AU14" s="996"/>
      <c r="AV14" s="996"/>
      <c r="AW14" s="996"/>
      <c r="AX14" s="996"/>
      <c r="AY14" s="996"/>
      <c r="AZ14" s="996"/>
      <c r="BA14" s="996"/>
      <c r="BB14" s="996"/>
      <c r="BC14" s="996"/>
      <c r="BD14" s="996"/>
      <c r="BE14" s="996"/>
      <c r="BF14" s="996"/>
      <c r="BG14" s="996"/>
      <c r="BH14" s="996"/>
      <c r="BI14" s="996"/>
      <c r="BJ14" s="996"/>
      <c r="BK14" s="996"/>
      <c r="BL14" s="996"/>
      <c r="BM14" s="996"/>
      <c r="BN14" s="996"/>
      <c r="BO14" s="996"/>
      <c r="BP14" s="996"/>
      <c r="BQ14" s="996"/>
      <c r="BR14" s="996"/>
      <c r="BS14" s="997"/>
      <c r="BT14" s="676"/>
      <c r="BU14" s="375"/>
      <c r="BV14" s="676"/>
      <c r="BW14" s="375"/>
      <c r="BX14" s="676"/>
      <c r="BY14" s="375"/>
      <c r="BZ14" s="676"/>
      <c r="CA14" s="375"/>
      <c r="CB14" s="676"/>
      <c r="CC14" s="375"/>
      <c r="CD14" s="676"/>
      <c r="CE14" s="375"/>
      <c r="CF14" s="676"/>
      <c r="CG14" s="375"/>
      <c r="CH14" s="673" t="s">
        <v>1106</v>
      </c>
      <c r="CI14" s="884"/>
      <c r="CJ14" s="673" t="s">
        <v>1107</v>
      </c>
      <c r="CK14" s="884"/>
      <c r="CL14" s="999"/>
      <c r="CM14" s="996"/>
      <c r="CN14" s="996"/>
      <c r="CO14" s="996"/>
      <c r="CP14" s="996"/>
      <c r="CQ14" s="996"/>
      <c r="CR14" s="996"/>
      <c r="CS14" s="996"/>
      <c r="CT14" s="996"/>
      <c r="CU14" s="996"/>
      <c r="CV14" s="996"/>
      <c r="CW14" s="996"/>
      <c r="CX14" s="997"/>
      <c r="CY14" s="676"/>
      <c r="CZ14" s="375"/>
      <c r="DA14" s="676"/>
      <c r="DB14" s="375"/>
      <c r="DC14" s="676"/>
      <c r="DD14" s="375"/>
      <c r="DE14" s="676"/>
      <c r="DF14" s="375"/>
      <c r="DG14" s="673" t="s">
        <v>1108</v>
      </c>
      <c r="DH14" s="884"/>
      <c r="DI14" s="673" t="s">
        <v>1109</v>
      </c>
      <c r="DJ14" s="884"/>
      <c r="DK14" s="999"/>
      <c r="DL14" s="996"/>
      <c r="DM14" s="996"/>
      <c r="DN14" s="996"/>
      <c r="DO14" s="996"/>
      <c r="DP14" s="996"/>
      <c r="DQ14" s="996"/>
      <c r="DR14" s="996"/>
      <c r="DS14" s="996"/>
      <c r="DT14" s="996"/>
      <c r="DU14" s="996"/>
      <c r="DV14" s="996"/>
      <c r="DW14" s="996"/>
      <c r="DX14" s="996"/>
      <c r="DY14" s="996"/>
      <c r="DZ14" s="996"/>
      <c r="EA14" s="996"/>
      <c r="EB14" s="996"/>
      <c r="EC14" s="996"/>
      <c r="ED14" s="996"/>
      <c r="EE14" s="996"/>
      <c r="EF14" s="996"/>
      <c r="EG14" s="996"/>
      <c r="EH14" s="996"/>
      <c r="EI14" s="996"/>
      <c r="EJ14" s="996"/>
      <c r="EK14" s="996"/>
      <c r="EL14" s="996"/>
      <c r="EM14" s="996"/>
      <c r="EN14" s="996"/>
      <c r="EO14" s="996"/>
      <c r="EP14" s="996"/>
      <c r="EQ14" s="996"/>
      <c r="ER14" s="996"/>
      <c r="ES14" s="996"/>
      <c r="ET14" s="996"/>
      <c r="EU14" s="996"/>
      <c r="EV14" s="996"/>
      <c r="EW14" s="996"/>
      <c r="EX14" s="996"/>
      <c r="EY14" s="996"/>
      <c r="EZ14" s="996"/>
      <c r="FA14" s="996"/>
      <c r="FB14" s="996"/>
      <c r="FC14" s="996"/>
      <c r="FD14" s="996"/>
      <c r="FE14" s="996"/>
      <c r="FF14" s="996"/>
      <c r="FG14" s="996"/>
      <c r="FH14" s="996"/>
      <c r="FI14" s="996"/>
      <c r="FJ14" s="996"/>
      <c r="FK14" s="996"/>
      <c r="FL14" s="996"/>
      <c r="FM14" s="996"/>
      <c r="FN14" s="996"/>
      <c r="FO14" s="996"/>
      <c r="FP14" s="996"/>
      <c r="FQ14" s="996"/>
      <c r="FR14" s="996"/>
      <c r="FS14" s="996"/>
      <c r="FT14" s="996"/>
      <c r="FU14" s="996"/>
      <c r="FV14" s="996"/>
      <c r="FW14" s="991"/>
      <c r="FX14" s="60"/>
      <c r="GC14" s="968">
        <v>36</v>
      </c>
    </row>
    <row r="15" ht="37.799999999999997" customHeight="1">
      <c r="D15" s="972"/>
      <c r="E15" s="994"/>
      <c r="F15" s="360"/>
      <c r="G15" s="360"/>
      <c r="H15" s="360"/>
      <c r="I15" s="360"/>
      <c r="J15" s="995"/>
      <c r="K15" s="995"/>
      <c r="L15" s="995"/>
      <c r="M15" s="995"/>
      <c r="N15" s="995"/>
      <c r="O15" s="682"/>
      <c r="P15" s="750"/>
      <c r="Q15" s="682"/>
      <c r="R15" s="750"/>
      <c r="S15" s="682"/>
      <c r="T15" s="750"/>
      <c r="U15" s="682"/>
      <c r="V15" s="750"/>
      <c r="W15" s="682"/>
      <c r="X15" s="750"/>
      <c r="Y15" s="682"/>
      <c r="Z15" s="750"/>
      <c r="AA15" s="682"/>
      <c r="AB15" s="750"/>
      <c r="AC15" s="996"/>
      <c r="AD15" s="996"/>
      <c r="AE15" s="996"/>
      <c r="AF15" s="996"/>
      <c r="AG15" s="996"/>
      <c r="AH15" s="996"/>
      <c r="AI15" s="996"/>
      <c r="AJ15" s="996"/>
      <c r="AK15" s="996"/>
      <c r="AL15" s="996"/>
      <c r="AM15" s="996"/>
      <c r="AN15" s="996"/>
      <c r="AO15" s="996"/>
      <c r="AP15" s="996"/>
      <c r="AQ15" s="996"/>
      <c r="AR15" s="996"/>
      <c r="AS15" s="996"/>
      <c r="AT15" s="996"/>
      <c r="AU15" s="996"/>
      <c r="AV15" s="996"/>
      <c r="AW15" s="996"/>
      <c r="AX15" s="996"/>
      <c r="AY15" s="996"/>
      <c r="AZ15" s="996"/>
      <c r="BA15" s="996"/>
      <c r="BB15" s="996"/>
      <c r="BC15" s="996"/>
      <c r="BD15" s="996"/>
      <c r="BE15" s="996"/>
      <c r="BF15" s="996"/>
      <c r="BG15" s="996"/>
      <c r="BH15" s="996"/>
      <c r="BI15" s="996"/>
      <c r="BJ15" s="996"/>
      <c r="BK15" s="996"/>
      <c r="BL15" s="996"/>
      <c r="BM15" s="996"/>
      <c r="BN15" s="996"/>
      <c r="BO15" s="996"/>
      <c r="BP15" s="996"/>
      <c r="BQ15" s="996"/>
      <c r="BR15" s="996"/>
      <c r="BS15" s="997"/>
      <c r="BT15" s="682"/>
      <c r="BU15" s="750"/>
      <c r="BV15" s="682"/>
      <c r="BW15" s="750"/>
      <c r="BX15" s="682"/>
      <c r="BY15" s="750"/>
      <c r="BZ15" s="682"/>
      <c r="CA15" s="750"/>
      <c r="CB15" s="682"/>
      <c r="CC15" s="750"/>
      <c r="CD15" s="682"/>
      <c r="CE15" s="750"/>
      <c r="CF15" s="682"/>
      <c r="CG15" s="750"/>
      <c r="CH15" s="682"/>
      <c r="CI15" s="750"/>
      <c r="CJ15" s="682"/>
      <c r="CK15" s="750"/>
      <c r="CL15" s="999"/>
      <c r="CM15" s="996"/>
      <c r="CN15" s="996"/>
      <c r="CO15" s="996"/>
      <c r="CP15" s="996"/>
      <c r="CQ15" s="996"/>
      <c r="CR15" s="996"/>
      <c r="CS15" s="996"/>
      <c r="CT15" s="996"/>
      <c r="CU15" s="996"/>
      <c r="CV15" s="996"/>
      <c r="CW15" s="996"/>
      <c r="CX15" s="997"/>
      <c r="CY15" s="682"/>
      <c r="CZ15" s="750"/>
      <c r="DA15" s="682"/>
      <c r="DB15" s="750"/>
      <c r="DC15" s="682"/>
      <c r="DD15" s="750"/>
      <c r="DE15" s="682"/>
      <c r="DF15" s="750"/>
      <c r="DG15" s="682"/>
      <c r="DH15" s="750"/>
      <c r="DI15" s="682"/>
      <c r="DJ15" s="750"/>
      <c r="DK15" s="999"/>
      <c r="DL15" s="996"/>
      <c r="DM15" s="996"/>
      <c r="DN15" s="996"/>
      <c r="DO15" s="996"/>
      <c r="DP15" s="996"/>
      <c r="DQ15" s="996"/>
      <c r="DR15" s="996"/>
      <c r="DS15" s="996"/>
      <c r="DT15" s="996"/>
      <c r="DU15" s="996"/>
      <c r="DV15" s="996"/>
      <c r="DW15" s="996"/>
      <c r="DX15" s="996"/>
      <c r="DY15" s="996"/>
      <c r="DZ15" s="996"/>
      <c r="EA15" s="996"/>
      <c r="EB15" s="996"/>
      <c r="EC15" s="996"/>
      <c r="ED15" s="996"/>
      <c r="EE15" s="996"/>
      <c r="EF15" s="996"/>
      <c r="EG15" s="996"/>
      <c r="EH15" s="996"/>
      <c r="EI15" s="996"/>
      <c r="EJ15" s="996"/>
      <c r="EK15" s="996"/>
      <c r="EL15" s="996"/>
      <c r="EM15" s="996"/>
      <c r="EN15" s="996"/>
      <c r="EO15" s="996"/>
      <c r="EP15" s="996"/>
      <c r="EQ15" s="996"/>
      <c r="ER15" s="996"/>
      <c r="ES15" s="996"/>
      <c r="ET15" s="996"/>
      <c r="EU15" s="996"/>
      <c r="EV15" s="996"/>
      <c r="EW15" s="996"/>
      <c r="EX15" s="996"/>
      <c r="EY15" s="996"/>
      <c r="EZ15" s="996"/>
      <c r="FA15" s="996"/>
      <c r="FB15" s="996"/>
      <c r="FC15" s="996"/>
      <c r="FD15" s="996"/>
      <c r="FE15" s="996"/>
      <c r="FF15" s="996"/>
      <c r="FG15" s="996"/>
      <c r="FH15" s="996"/>
      <c r="FI15" s="996"/>
      <c r="FJ15" s="996"/>
      <c r="FK15" s="996"/>
      <c r="FL15" s="996"/>
      <c r="FM15" s="996"/>
      <c r="FN15" s="996"/>
      <c r="FO15" s="996"/>
      <c r="FP15" s="996"/>
      <c r="FQ15" s="996"/>
      <c r="FR15" s="996"/>
      <c r="FS15" s="996"/>
      <c r="FT15" s="996"/>
      <c r="FU15" s="996"/>
      <c r="FV15" s="996"/>
      <c r="FW15" s="991"/>
      <c r="FX15" s="60"/>
      <c r="GC15" s="968">
        <v>36</v>
      </c>
    </row>
    <row r="16" ht="12.75" customHeight="1">
      <c r="D16" s="972"/>
      <c r="E16" s="994"/>
      <c r="F16" s="360"/>
      <c r="G16" s="360"/>
      <c r="H16" s="360"/>
      <c r="I16" s="360"/>
      <c r="J16" s="995"/>
      <c r="K16" s="995"/>
      <c r="L16" s="995"/>
      <c r="M16" s="995"/>
      <c r="N16" s="995"/>
      <c r="O16" s="882" t="s">
        <v>827</v>
      </c>
      <c r="P16" s="998"/>
      <c r="Q16" s="882" t="s">
        <v>829</v>
      </c>
      <c r="R16" s="998"/>
      <c r="S16" s="882" t="s">
        <v>833</v>
      </c>
      <c r="T16" s="998"/>
      <c r="U16" s="882" t="s">
        <v>838</v>
      </c>
      <c r="V16" s="998"/>
      <c r="W16" s="882" t="s">
        <v>841</v>
      </c>
      <c r="X16" s="998"/>
      <c r="Y16" s="882" t="s">
        <v>845</v>
      </c>
      <c r="Z16" s="998"/>
      <c r="AA16" s="882" t="s">
        <v>848</v>
      </c>
      <c r="AB16" s="998"/>
      <c r="AC16" s="996"/>
      <c r="AD16" s="996"/>
      <c r="AE16" s="996"/>
      <c r="AF16" s="996"/>
      <c r="AG16" s="996"/>
      <c r="AH16" s="996"/>
      <c r="AI16" s="996"/>
      <c r="AJ16" s="996"/>
      <c r="AK16" s="996"/>
      <c r="AL16" s="996"/>
      <c r="AM16" s="996"/>
      <c r="AN16" s="996"/>
      <c r="AO16" s="996"/>
      <c r="AP16" s="996"/>
      <c r="AQ16" s="996"/>
      <c r="AR16" s="996"/>
      <c r="AS16" s="996"/>
      <c r="AT16" s="996"/>
      <c r="AU16" s="996"/>
      <c r="AV16" s="996"/>
      <c r="AW16" s="996"/>
      <c r="AX16" s="996"/>
      <c r="AY16" s="996"/>
      <c r="AZ16" s="996"/>
      <c r="BA16" s="996"/>
      <c r="BB16" s="996"/>
      <c r="BC16" s="996"/>
      <c r="BD16" s="996"/>
      <c r="BE16" s="996"/>
      <c r="BF16" s="996"/>
      <c r="BG16" s="996"/>
      <c r="BH16" s="996"/>
      <c r="BI16" s="996"/>
      <c r="BJ16" s="996"/>
      <c r="BK16" s="996"/>
      <c r="BL16" s="996"/>
      <c r="BM16" s="996"/>
      <c r="BN16" s="996"/>
      <c r="BO16" s="996"/>
      <c r="BP16" s="996"/>
      <c r="BQ16" s="996"/>
      <c r="BR16" s="996"/>
      <c r="BS16" s="997"/>
      <c r="BT16" s="882" t="s">
        <v>560</v>
      </c>
      <c r="BU16" s="998"/>
      <c r="BV16" s="882" t="s">
        <v>560</v>
      </c>
      <c r="BW16" s="998"/>
      <c r="BX16" s="882" t="s">
        <v>560</v>
      </c>
      <c r="BY16" s="998"/>
      <c r="BZ16" s="882" t="s">
        <v>560</v>
      </c>
      <c r="CA16" s="998"/>
      <c r="CB16" s="882" t="s">
        <v>1110</v>
      </c>
      <c r="CC16" s="998"/>
      <c r="CD16" s="882" t="s">
        <v>560</v>
      </c>
      <c r="CE16" s="998"/>
      <c r="CF16" s="882" t="s">
        <v>1111</v>
      </c>
      <c r="CG16" s="998"/>
      <c r="CH16" s="882" t="s">
        <v>1112</v>
      </c>
      <c r="CI16" s="998"/>
      <c r="CJ16" s="882" t="s">
        <v>1112</v>
      </c>
      <c r="CK16" s="998"/>
      <c r="CL16" s="999"/>
      <c r="CM16" s="996"/>
      <c r="CN16" s="996"/>
      <c r="CO16" s="996"/>
      <c r="CP16" s="996"/>
      <c r="CQ16" s="996"/>
      <c r="CR16" s="996"/>
      <c r="CS16" s="996"/>
      <c r="CT16" s="996"/>
      <c r="CU16" s="996"/>
      <c r="CV16" s="996"/>
      <c r="CW16" s="996"/>
      <c r="CX16" s="997"/>
      <c r="CY16" s="673" t="s">
        <v>560</v>
      </c>
      <c r="CZ16" s="884"/>
      <c r="DA16" s="673" t="s">
        <v>560</v>
      </c>
      <c r="DB16" s="884"/>
      <c r="DC16" s="673" t="s">
        <v>560</v>
      </c>
      <c r="DD16" s="884"/>
      <c r="DE16" s="882" t="s">
        <v>1110</v>
      </c>
      <c r="DF16" s="998"/>
      <c r="DG16" s="882" t="s">
        <v>1113</v>
      </c>
      <c r="DH16" s="998"/>
      <c r="DI16" s="882" t="s">
        <v>1113</v>
      </c>
      <c r="DJ16" s="998"/>
      <c r="DK16" s="999"/>
      <c r="DL16" s="996"/>
      <c r="DM16" s="996"/>
      <c r="DN16" s="996"/>
      <c r="DO16" s="996"/>
      <c r="DP16" s="996"/>
      <c r="DQ16" s="996"/>
      <c r="DR16" s="996"/>
      <c r="DS16" s="996"/>
      <c r="DT16" s="996"/>
      <c r="DU16" s="996"/>
      <c r="DV16" s="996"/>
      <c r="DW16" s="996"/>
      <c r="DX16" s="996"/>
      <c r="DY16" s="996"/>
      <c r="DZ16" s="996"/>
      <c r="EA16" s="996"/>
      <c r="EB16" s="996"/>
      <c r="EC16" s="996"/>
      <c r="ED16" s="996"/>
      <c r="EE16" s="996"/>
      <c r="EF16" s="996"/>
      <c r="EG16" s="996"/>
      <c r="EH16" s="996"/>
      <c r="EI16" s="996"/>
      <c r="EJ16" s="996"/>
      <c r="EK16" s="996"/>
      <c r="EL16" s="996"/>
      <c r="EM16" s="996"/>
      <c r="EN16" s="996"/>
      <c r="EO16" s="996"/>
      <c r="EP16" s="996"/>
      <c r="EQ16" s="996"/>
      <c r="ER16" s="996"/>
      <c r="ES16" s="996"/>
      <c r="ET16" s="996"/>
      <c r="EU16" s="996"/>
      <c r="EV16" s="996"/>
      <c r="EW16" s="996"/>
      <c r="EX16" s="996"/>
      <c r="EY16" s="996"/>
      <c r="EZ16" s="996"/>
      <c r="FA16" s="996"/>
      <c r="FB16" s="996"/>
      <c r="FC16" s="996"/>
      <c r="FD16" s="996"/>
      <c r="FE16" s="996"/>
      <c r="FF16" s="996"/>
      <c r="FG16" s="996"/>
      <c r="FH16" s="996"/>
      <c r="FI16" s="996"/>
      <c r="FJ16" s="996"/>
      <c r="FK16" s="996"/>
      <c r="FL16" s="996"/>
      <c r="FM16" s="996"/>
      <c r="FN16" s="996"/>
      <c r="FO16" s="996"/>
      <c r="FP16" s="996"/>
      <c r="FQ16" s="996"/>
      <c r="FR16" s="996"/>
      <c r="FS16" s="996"/>
      <c r="FT16" s="996"/>
      <c r="FU16" s="996"/>
      <c r="FV16" s="996"/>
      <c r="FW16" s="991"/>
      <c r="FX16" s="60"/>
      <c r="GC16" s="968">
        <v>12</v>
      </c>
    </row>
    <row r="17" ht="15.75" customHeight="1">
      <c r="E17" s="994"/>
      <c r="F17" s="360"/>
      <c r="G17" s="360"/>
      <c r="H17" s="360"/>
      <c r="I17" s="360"/>
      <c r="J17" s="995"/>
      <c r="K17" s="995"/>
      <c r="L17" s="995"/>
      <c r="M17" s="995"/>
      <c r="N17" s="995"/>
      <c r="O17" s="362" t="s">
        <v>1114</v>
      </c>
      <c r="P17" s="362" t="s">
        <v>1115</v>
      </c>
      <c r="Q17" s="362" t="s">
        <v>1114</v>
      </c>
      <c r="R17" s="362" t="s">
        <v>1115</v>
      </c>
      <c r="S17" s="362" t="s">
        <v>1114</v>
      </c>
      <c r="T17" s="362" t="s">
        <v>1115</v>
      </c>
      <c r="U17" s="362" t="s">
        <v>1114</v>
      </c>
      <c r="V17" s="362" t="s">
        <v>1115</v>
      </c>
      <c r="W17" s="362" t="s">
        <v>1114</v>
      </c>
      <c r="X17" s="362" t="s">
        <v>1115</v>
      </c>
      <c r="Y17" s="362" t="s">
        <v>1114</v>
      </c>
      <c r="Z17" s="362" t="s">
        <v>1115</v>
      </c>
      <c r="AA17" s="362" t="s">
        <v>1114</v>
      </c>
      <c r="AB17" s="362" t="s">
        <v>1115</v>
      </c>
      <c r="AC17" s="996"/>
      <c r="AD17" s="996"/>
      <c r="AE17" s="996"/>
      <c r="AF17" s="996"/>
      <c r="AG17" s="996"/>
      <c r="AH17" s="996"/>
      <c r="AI17" s="996"/>
      <c r="AJ17" s="996"/>
      <c r="AK17" s="996"/>
      <c r="AL17" s="996"/>
      <c r="AM17" s="996"/>
      <c r="AN17" s="996"/>
      <c r="AO17" s="996"/>
      <c r="AP17" s="996"/>
      <c r="AQ17" s="996"/>
      <c r="AR17" s="996"/>
      <c r="AS17" s="996"/>
      <c r="AT17" s="996"/>
      <c r="AU17" s="996"/>
      <c r="AV17" s="996"/>
      <c r="AW17" s="996"/>
      <c r="AX17" s="996"/>
      <c r="AY17" s="996"/>
      <c r="AZ17" s="996"/>
      <c r="BA17" s="996"/>
      <c r="BB17" s="996"/>
      <c r="BC17" s="996"/>
      <c r="BD17" s="996"/>
      <c r="BE17" s="996"/>
      <c r="BF17" s="996"/>
      <c r="BG17" s="996"/>
      <c r="BH17" s="996"/>
      <c r="BI17" s="996"/>
      <c r="BJ17" s="996"/>
      <c r="BK17" s="996"/>
      <c r="BL17" s="996"/>
      <c r="BM17" s="996"/>
      <c r="BN17" s="996"/>
      <c r="BO17" s="996"/>
      <c r="BP17" s="996"/>
      <c r="BQ17" s="996"/>
      <c r="BR17" s="996"/>
      <c r="BS17" s="997"/>
      <c r="BT17" s="362" t="s">
        <v>1114</v>
      </c>
      <c r="BU17" s="362" t="s">
        <v>1115</v>
      </c>
      <c r="BV17" s="362" t="s">
        <v>1114</v>
      </c>
      <c r="BW17" s="362" t="s">
        <v>1115</v>
      </c>
      <c r="BX17" s="362" t="s">
        <v>1114</v>
      </c>
      <c r="BY17" s="362" t="s">
        <v>1115</v>
      </c>
      <c r="BZ17" s="362" t="s">
        <v>1114</v>
      </c>
      <c r="CA17" s="362" t="s">
        <v>1115</v>
      </c>
      <c r="CB17" s="362" t="s">
        <v>1114</v>
      </c>
      <c r="CC17" s="362" t="s">
        <v>1115</v>
      </c>
      <c r="CD17" s="362" t="s">
        <v>1114</v>
      </c>
      <c r="CE17" s="362" t="s">
        <v>1115</v>
      </c>
      <c r="CF17" s="362" t="s">
        <v>1114</v>
      </c>
      <c r="CG17" s="362" t="s">
        <v>1115</v>
      </c>
      <c r="CH17" s="362" t="s">
        <v>1114</v>
      </c>
      <c r="CI17" s="362" t="s">
        <v>1115</v>
      </c>
      <c r="CJ17" s="362" t="s">
        <v>1114</v>
      </c>
      <c r="CK17" s="362" t="s">
        <v>1115</v>
      </c>
      <c r="CL17" s="999"/>
      <c r="CM17" s="996"/>
      <c r="CN17" s="996"/>
      <c r="CO17" s="996"/>
      <c r="CP17" s="996"/>
      <c r="CQ17" s="996"/>
      <c r="CR17" s="996"/>
      <c r="CS17" s="996"/>
      <c r="CT17" s="996"/>
      <c r="CU17" s="996"/>
      <c r="CV17" s="996"/>
      <c r="CW17" s="996"/>
      <c r="CX17" s="997"/>
      <c r="CY17" s="362" t="s">
        <v>1114</v>
      </c>
      <c r="CZ17" s="362" t="s">
        <v>1115</v>
      </c>
      <c r="DA17" s="362" t="s">
        <v>1114</v>
      </c>
      <c r="DB17" s="362" t="s">
        <v>1115</v>
      </c>
      <c r="DC17" s="362" t="s">
        <v>1114</v>
      </c>
      <c r="DD17" s="362" t="s">
        <v>1115</v>
      </c>
      <c r="DE17" s="362" t="s">
        <v>1114</v>
      </c>
      <c r="DF17" s="362" t="s">
        <v>1115</v>
      </c>
      <c r="DG17" s="362" t="s">
        <v>1114</v>
      </c>
      <c r="DH17" s="362" t="s">
        <v>1115</v>
      </c>
      <c r="DI17" s="362" t="s">
        <v>1114</v>
      </c>
      <c r="DJ17" s="362" t="s">
        <v>1115</v>
      </c>
      <c r="DK17" s="999"/>
      <c r="DL17" s="996"/>
      <c r="DM17" s="996"/>
      <c r="DN17" s="996"/>
      <c r="DO17" s="996"/>
      <c r="DP17" s="996"/>
      <c r="DQ17" s="996"/>
      <c r="DR17" s="996"/>
      <c r="DS17" s="996"/>
      <c r="DT17" s="996"/>
      <c r="DU17" s="996"/>
      <c r="DV17" s="996"/>
      <c r="DW17" s="996"/>
      <c r="DX17" s="996"/>
      <c r="DY17" s="996"/>
      <c r="DZ17" s="996"/>
      <c r="EA17" s="996"/>
      <c r="EB17" s="996"/>
      <c r="EC17" s="996"/>
      <c r="ED17" s="996"/>
      <c r="EE17" s="996"/>
      <c r="EF17" s="996"/>
      <c r="EG17" s="996"/>
      <c r="EH17" s="996"/>
      <c r="EI17" s="996"/>
      <c r="EJ17" s="996"/>
      <c r="EK17" s="996"/>
      <c r="EL17" s="996"/>
      <c r="EM17" s="996"/>
      <c r="EN17" s="996"/>
      <c r="EO17" s="996"/>
      <c r="EP17" s="996"/>
      <c r="EQ17" s="996"/>
      <c r="ER17" s="996"/>
      <c r="ES17" s="996"/>
      <c r="ET17" s="996"/>
      <c r="EU17" s="996"/>
      <c r="EV17" s="996"/>
      <c r="EW17" s="996"/>
      <c r="EX17" s="996"/>
      <c r="EY17" s="996"/>
      <c r="EZ17" s="996"/>
      <c r="FA17" s="996"/>
      <c r="FB17" s="996"/>
      <c r="FC17" s="996"/>
      <c r="FD17" s="996"/>
      <c r="FE17" s="996"/>
      <c r="FF17" s="996"/>
      <c r="FG17" s="996"/>
      <c r="FH17" s="996"/>
      <c r="FI17" s="996"/>
      <c r="FJ17" s="996"/>
      <c r="FK17" s="996"/>
      <c r="FL17" s="996"/>
      <c r="FM17" s="996"/>
      <c r="FN17" s="996"/>
      <c r="FO17" s="996"/>
      <c r="FP17" s="996"/>
      <c r="FQ17" s="996"/>
      <c r="FR17" s="996"/>
      <c r="FS17" s="996"/>
      <c r="FT17" s="996"/>
      <c r="FU17" s="996"/>
      <c r="FV17" s="996"/>
      <c r="FW17" s="1000"/>
      <c r="FX17" s="60"/>
      <c r="GC17" s="968">
        <v>15</v>
      </c>
    </row>
    <row r="18" s="970" customFormat="1" ht="12" hidden="1" customHeight="1">
      <c r="B18" s="971"/>
      <c r="E18" s="1001"/>
      <c r="F18" s="1002"/>
      <c r="G18" s="1002"/>
      <c r="H18" s="1002"/>
      <c r="I18" s="1002"/>
      <c r="J18" s="1003"/>
      <c r="K18" s="1003"/>
      <c r="L18" s="1003"/>
      <c r="M18" s="1003"/>
      <c r="N18" s="1003"/>
      <c r="O18" s="1002"/>
      <c r="P18" s="1002"/>
      <c r="Q18" s="1002"/>
      <c r="R18" s="1002"/>
      <c r="S18" s="1002"/>
      <c r="T18" s="1002"/>
      <c r="U18" s="1004"/>
      <c r="V18" s="1004"/>
      <c r="W18" s="1004"/>
      <c r="X18" s="1004"/>
      <c r="Y18" s="1004"/>
      <c r="Z18" s="1004"/>
      <c r="AA18" s="1004"/>
      <c r="AB18" s="1002"/>
      <c r="AC18" s="1003"/>
      <c r="AD18" s="1003"/>
      <c r="AE18" s="1003"/>
      <c r="AF18" s="1003"/>
      <c r="AG18" s="1003"/>
      <c r="AH18" s="1003"/>
      <c r="AI18" s="1003"/>
      <c r="AJ18" s="1003"/>
      <c r="AK18" s="1003"/>
      <c r="AL18" s="1003"/>
      <c r="AM18" s="1003"/>
      <c r="AN18" s="1003"/>
      <c r="AO18" s="1003"/>
      <c r="AP18" s="1003"/>
      <c r="AQ18" s="1003"/>
      <c r="AR18" s="1003"/>
      <c r="AS18" s="1003"/>
      <c r="AT18" s="1003"/>
      <c r="AU18" s="1003"/>
      <c r="AV18" s="1003"/>
      <c r="AW18" s="1003"/>
      <c r="AX18" s="1003"/>
      <c r="AY18" s="1003"/>
      <c r="AZ18" s="1003"/>
      <c r="BA18" s="1003"/>
      <c r="BB18" s="1003"/>
      <c r="BC18" s="1003"/>
      <c r="BD18" s="1003"/>
      <c r="BE18" s="1003"/>
      <c r="BF18" s="1003"/>
      <c r="BG18" s="1003"/>
      <c r="BH18" s="1003"/>
      <c r="BI18" s="1003"/>
      <c r="BJ18" s="1003"/>
      <c r="BK18" s="1003"/>
      <c r="BL18" s="1003"/>
      <c r="BM18" s="1003"/>
      <c r="BN18" s="1003"/>
      <c r="BO18" s="1003"/>
      <c r="BP18" s="1003"/>
      <c r="BQ18" s="1003"/>
      <c r="BR18" s="1003"/>
      <c r="BS18" s="1003"/>
      <c r="BT18" s="1005"/>
      <c r="BU18" s="1005"/>
      <c r="BV18" s="1005"/>
      <c r="BW18" s="1005"/>
      <c r="BX18" s="1005"/>
      <c r="BY18" s="1005"/>
      <c r="BZ18" s="1005"/>
      <c r="CA18" s="1005"/>
      <c r="CB18" s="1005"/>
      <c r="CC18" s="1005"/>
      <c r="CD18" s="1005"/>
      <c r="CE18" s="1005"/>
      <c r="CF18" s="1005"/>
      <c r="CG18" s="1005"/>
      <c r="CH18" s="1005"/>
      <c r="CI18" s="1005"/>
      <c r="CJ18" s="1005"/>
      <c r="CK18" s="1005"/>
      <c r="CL18" s="1003"/>
      <c r="CM18" s="1003"/>
      <c r="CN18" s="1003"/>
      <c r="CO18" s="1003"/>
      <c r="CP18" s="1003"/>
      <c r="CQ18" s="1003"/>
      <c r="CR18" s="1003"/>
      <c r="CS18" s="1003"/>
      <c r="CT18" s="1003"/>
      <c r="CU18" s="1003"/>
      <c r="CV18" s="1003"/>
      <c r="CW18" s="1003"/>
      <c r="CX18" s="1003"/>
      <c r="CY18" s="1005"/>
      <c r="CZ18" s="1005"/>
      <c r="DA18" s="1005"/>
      <c r="DB18" s="1005"/>
      <c r="DC18" s="1005"/>
      <c r="DD18" s="1005"/>
      <c r="DE18" s="1005"/>
      <c r="DF18" s="1005"/>
      <c r="DG18" s="1005"/>
      <c r="DH18" s="1005"/>
      <c r="DI18" s="1005"/>
      <c r="DJ18" s="1005"/>
      <c r="DK18" s="1003"/>
      <c r="DL18" s="1003"/>
      <c r="DM18" s="1003"/>
      <c r="DN18" s="1003"/>
      <c r="DO18" s="1003"/>
      <c r="DP18" s="1003"/>
      <c r="DQ18" s="1003"/>
      <c r="DR18" s="1003"/>
      <c r="DS18" s="1003"/>
      <c r="DT18" s="1003"/>
      <c r="DU18" s="1003"/>
      <c r="DV18" s="1003"/>
      <c r="DW18" s="1003"/>
      <c r="DX18" s="1003"/>
      <c r="DY18" s="1003"/>
      <c r="DZ18" s="1003"/>
      <c r="EA18" s="1003"/>
      <c r="EB18" s="1003"/>
      <c r="EC18" s="1003"/>
      <c r="ED18" s="1003"/>
      <c r="EE18" s="1003"/>
      <c r="EF18" s="1003"/>
      <c r="EG18" s="1003"/>
      <c r="EH18" s="1003"/>
      <c r="EI18" s="1003"/>
      <c r="EJ18" s="1003"/>
      <c r="EK18" s="1003"/>
      <c r="EL18" s="1003"/>
      <c r="EM18" s="1003"/>
      <c r="EN18" s="1003"/>
      <c r="EO18" s="1003"/>
      <c r="EP18" s="1003"/>
      <c r="EQ18" s="1003"/>
      <c r="ER18" s="1003"/>
      <c r="ES18" s="1003"/>
      <c r="ET18" s="1003"/>
      <c r="EU18" s="1003"/>
      <c r="EV18" s="1003"/>
      <c r="EW18" s="1003"/>
      <c r="EX18" s="1003"/>
      <c r="EY18" s="1003"/>
      <c r="EZ18" s="1003"/>
      <c r="FA18" s="1003"/>
      <c r="FB18" s="1003"/>
      <c r="FC18" s="1003"/>
      <c r="FD18" s="1003"/>
      <c r="FE18" s="1003"/>
      <c r="FF18" s="1003"/>
      <c r="FG18" s="1003"/>
      <c r="FH18" s="1003"/>
      <c r="FI18" s="1003"/>
      <c r="FJ18" s="1003"/>
      <c r="FK18" s="1003"/>
      <c r="FL18" s="1003"/>
      <c r="FM18" s="1003"/>
      <c r="FN18" s="1003"/>
      <c r="FO18" s="1003"/>
      <c r="FP18" s="1003"/>
      <c r="FQ18" s="1003"/>
      <c r="FR18" s="1003"/>
      <c r="FS18" s="1003"/>
      <c r="FT18" s="1003"/>
      <c r="FU18" s="1003"/>
      <c r="FV18" s="1003"/>
      <c r="FW18" s="1002"/>
      <c r="FX18" s="1006"/>
      <c r="GC18" s="970">
        <v>0</v>
      </c>
    </row>
    <row r="19" s="970" customFormat="1" ht="11.25" hidden="1" customHeight="1">
      <c r="B19" s="971"/>
      <c r="E19" s="1001"/>
      <c r="F19" s="1002"/>
      <c r="G19" s="1002"/>
      <c r="H19" s="1002"/>
      <c r="I19" s="1002"/>
      <c r="J19" s="1002"/>
      <c r="K19" s="1002"/>
      <c r="L19" s="1002"/>
      <c r="M19" s="1002"/>
      <c r="N19" s="1002"/>
      <c r="O19" s="1002"/>
      <c r="P19" s="1002"/>
      <c r="Q19" s="1002"/>
      <c r="R19" s="1002"/>
      <c r="S19" s="1002"/>
      <c r="T19" s="1002"/>
      <c r="U19" s="1004"/>
      <c r="V19" s="1004"/>
      <c r="W19" s="1004"/>
      <c r="X19" s="1004"/>
      <c r="Y19" s="1004"/>
      <c r="Z19" s="1004"/>
      <c r="AA19" s="1004"/>
      <c r="AB19" s="1002"/>
      <c r="AC19" s="1002"/>
      <c r="AD19" s="1002"/>
      <c r="AE19" s="1002"/>
      <c r="AF19" s="1002"/>
      <c r="AG19" s="1002"/>
      <c r="AH19" s="1002"/>
      <c r="AI19" s="1002"/>
      <c r="AJ19" s="1002"/>
      <c r="AK19" s="1002"/>
      <c r="AL19" s="1002"/>
      <c r="AM19" s="1002"/>
      <c r="AN19" s="1002"/>
      <c r="AO19" s="1002"/>
      <c r="AP19" s="1002"/>
      <c r="AQ19" s="1002"/>
      <c r="AR19" s="1002"/>
      <c r="AS19" s="1002"/>
      <c r="AT19" s="1002"/>
      <c r="AU19" s="1002"/>
      <c r="AV19" s="1002"/>
      <c r="AW19" s="1002"/>
      <c r="AX19" s="1002"/>
      <c r="AY19" s="1002"/>
      <c r="AZ19" s="1002"/>
      <c r="BA19" s="1002"/>
      <c r="BB19" s="1002"/>
      <c r="BC19" s="1002"/>
      <c r="BD19" s="1002"/>
      <c r="BE19" s="1002"/>
      <c r="BF19" s="1002"/>
      <c r="BG19" s="1002"/>
      <c r="BH19" s="1002"/>
      <c r="BI19" s="1002"/>
      <c r="BJ19" s="1002"/>
      <c r="BK19" s="1002"/>
      <c r="BL19" s="1002"/>
      <c r="BM19" s="1002"/>
      <c r="BN19" s="1002"/>
      <c r="BO19" s="1002"/>
      <c r="BP19" s="1002"/>
      <c r="BQ19" s="1002"/>
      <c r="BR19" s="1002"/>
      <c r="BS19" s="1002"/>
      <c r="BT19" s="1002"/>
      <c r="BU19" s="1002"/>
      <c r="BV19" s="1002"/>
      <c r="BW19" s="1002"/>
      <c r="BX19" s="1002"/>
      <c r="BY19" s="1002"/>
      <c r="BZ19" s="1002"/>
      <c r="CA19" s="1002"/>
      <c r="CB19" s="1002"/>
      <c r="CC19" s="1002"/>
      <c r="CD19" s="1002"/>
      <c r="CE19" s="1002"/>
      <c r="CF19" s="1002"/>
      <c r="CG19" s="1002"/>
      <c r="CH19" s="1002"/>
      <c r="CI19" s="1002"/>
      <c r="CJ19" s="1002"/>
      <c r="CK19" s="1002"/>
      <c r="CL19" s="1002"/>
      <c r="CM19" s="1002"/>
      <c r="CN19" s="1002"/>
      <c r="CO19" s="1002"/>
      <c r="CP19" s="1002"/>
      <c r="CQ19" s="1002"/>
      <c r="CR19" s="1002"/>
      <c r="CS19" s="1002"/>
      <c r="CT19" s="1002"/>
      <c r="CU19" s="1002"/>
      <c r="CV19" s="1002"/>
      <c r="CW19" s="1002"/>
      <c r="CX19" s="1002"/>
      <c r="CY19" s="1002"/>
      <c r="CZ19" s="1002"/>
      <c r="DA19" s="1002"/>
      <c r="DB19" s="1002"/>
      <c r="DC19" s="1002"/>
      <c r="DD19" s="1002"/>
      <c r="DE19" s="1002"/>
      <c r="DF19" s="1002"/>
      <c r="DG19" s="1002"/>
      <c r="DH19" s="1002"/>
      <c r="DI19" s="1002"/>
      <c r="DJ19" s="1002"/>
      <c r="DK19" s="1002"/>
      <c r="DL19" s="1002"/>
      <c r="DM19" s="1002"/>
      <c r="DN19" s="1002"/>
      <c r="DO19" s="1002"/>
      <c r="DP19" s="1002"/>
      <c r="DQ19" s="1002"/>
      <c r="DR19" s="1002"/>
      <c r="DS19" s="1002"/>
      <c r="DT19" s="1002"/>
      <c r="DU19" s="1002"/>
      <c r="DV19" s="1002"/>
      <c r="DW19" s="1002"/>
      <c r="DX19" s="1002"/>
      <c r="DY19" s="1002"/>
      <c r="DZ19" s="1002"/>
      <c r="EA19" s="1002"/>
      <c r="EB19" s="1002"/>
      <c r="EC19" s="1002"/>
      <c r="ED19" s="1002"/>
      <c r="EE19" s="1002"/>
      <c r="EF19" s="1002"/>
      <c r="EG19" s="1002"/>
      <c r="EH19" s="1002"/>
      <c r="EI19" s="1002"/>
      <c r="EJ19" s="1002"/>
      <c r="EK19" s="1002"/>
      <c r="EL19" s="1002"/>
      <c r="EM19" s="1002"/>
      <c r="EN19" s="1002"/>
      <c r="EO19" s="1002"/>
      <c r="EP19" s="1002"/>
      <c r="EQ19" s="1002"/>
      <c r="ER19" s="1002"/>
      <c r="ES19" s="1002"/>
      <c r="ET19" s="1002"/>
      <c r="EU19" s="1002"/>
      <c r="EV19" s="1002"/>
      <c r="EW19" s="1002"/>
      <c r="EX19" s="1002"/>
      <c r="EY19" s="1002"/>
      <c r="EZ19" s="1002"/>
      <c r="FA19" s="1002"/>
      <c r="FB19" s="1002"/>
      <c r="FC19" s="1002"/>
      <c r="FD19" s="1002"/>
      <c r="FE19" s="1002"/>
      <c r="FF19" s="1002"/>
      <c r="FG19" s="1002"/>
      <c r="FH19" s="1002"/>
      <c r="FI19" s="1002"/>
      <c r="FJ19" s="1002"/>
      <c r="FK19" s="1002"/>
      <c r="FL19" s="1002"/>
      <c r="FM19" s="1002"/>
      <c r="FN19" s="1002"/>
      <c r="FO19" s="1002"/>
      <c r="FP19" s="1002"/>
      <c r="FQ19" s="1002"/>
      <c r="FR19" s="1002"/>
      <c r="FS19" s="1002"/>
      <c r="FT19" s="1002"/>
      <c r="FU19" s="1002"/>
      <c r="FV19" s="1002"/>
      <c r="FW19" s="1002"/>
      <c r="FX19" s="1006"/>
      <c r="GC19" s="970">
        <v>0</v>
      </c>
    </row>
    <row r="20" s="970" customFormat="1" ht="11.25" hidden="1" customHeight="1">
      <c r="B20" s="971"/>
      <c r="D20" s="970"/>
      <c r="E20" s="1001"/>
      <c r="F20" s="1007" t="s">
        <v>378</v>
      </c>
      <c r="G20" s="342"/>
      <c r="H20" s="1008"/>
      <c r="I20" s="1008"/>
      <c r="J20" s="1008"/>
      <c r="K20" s="1008"/>
      <c r="L20" s="1008"/>
      <c r="M20" s="1008"/>
      <c r="N20" s="1008"/>
      <c r="O20" s="342"/>
      <c r="P20" s="342"/>
      <c r="Q20" s="342"/>
      <c r="R20" s="342"/>
      <c r="S20" s="342"/>
      <c r="T20" s="342"/>
      <c r="U20" s="1009"/>
      <c r="V20" s="1009"/>
      <c r="W20" s="1009"/>
      <c r="X20" s="1009"/>
      <c r="Y20" s="1009"/>
      <c r="Z20" s="1009"/>
      <c r="AA20" s="1009"/>
      <c r="AB20" s="342"/>
      <c r="AC20" s="1008"/>
      <c r="AD20" s="1008"/>
      <c r="AE20" s="1008"/>
      <c r="AF20" s="1008"/>
      <c r="AG20" s="1008"/>
      <c r="AH20" s="1008"/>
      <c r="AI20" s="1008"/>
      <c r="AJ20" s="1008"/>
      <c r="AK20" s="1008"/>
      <c r="AL20" s="1008"/>
      <c r="AM20" s="1008"/>
      <c r="AN20" s="1008"/>
      <c r="AO20" s="1008"/>
      <c r="AP20" s="1008"/>
      <c r="AQ20" s="1008"/>
      <c r="AR20" s="1008"/>
      <c r="AS20" s="1008"/>
      <c r="AT20" s="1008"/>
      <c r="AU20" s="1008"/>
      <c r="AV20" s="1008"/>
      <c r="AW20" s="1008"/>
      <c r="AX20" s="1008"/>
      <c r="AY20" s="1008"/>
      <c r="AZ20" s="1008"/>
      <c r="BA20" s="1008"/>
      <c r="BB20" s="1008"/>
      <c r="BC20" s="1008"/>
      <c r="BD20" s="1008"/>
      <c r="BE20" s="1008"/>
      <c r="BF20" s="1008"/>
      <c r="BG20" s="1008"/>
      <c r="BH20" s="1008"/>
      <c r="BI20" s="1008"/>
      <c r="BJ20" s="1008"/>
      <c r="BK20" s="1008"/>
      <c r="BL20" s="1008"/>
      <c r="BM20" s="1008"/>
      <c r="BN20" s="1008"/>
      <c r="BO20" s="1008"/>
      <c r="BP20" s="1008"/>
      <c r="BQ20" s="1008"/>
      <c r="BR20" s="1008"/>
      <c r="BS20" s="1008"/>
      <c r="BT20" s="1008"/>
      <c r="BU20" s="1008"/>
      <c r="BV20" s="1008"/>
      <c r="BW20" s="1008"/>
      <c r="BX20" s="1008"/>
      <c r="BY20" s="1008"/>
      <c r="BZ20" s="1008"/>
      <c r="CA20" s="1008"/>
      <c r="CB20" s="1008"/>
      <c r="CC20" s="1008"/>
      <c r="CD20" s="1008"/>
      <c r="CE20" s="1008"/>
      <c r="CF20" s="1008"/>
      <c r="CG20" s="1008"/>
      <c r="CH20" s="1008"/>
      <c r="CI20" s="1008"/>
      <c r="CJ20" s="1008"/>
      <c r="CK20" s="1008"/>
      <c r="CL20" s="1010"/>
      <c r="CM20" s="1010"/>
      <c r="CN20" s="1010"/>
      <c r="CO20" s="1010"/>
      <c r="CP20" s="1010"/>
      <c r="CQ20" s="1010"/>
      <c r="CR20" s="1010"/>
      <c r="CS20" s="1010"/>
      <c r="CT20" s="1010"/>
      <c r="CU20" s="1010"/>
      <c r="CV20" s="1010"/>
      <c r="CW20" s="1010"/>
      <c r="CX20" s="1010"/>
      <c r="CY20" s="1010"/>
      <c r="CZ20" s="1010"/>
      <c r="DA20" s="1010"/>
      <c r="DB20" s="1010"/>
      <c r="DC20" s="1010"/>
      <c r="DD20" s="1010"/>
      <c r="DE20" s="1010"/>
      <c r="DF20" s="1010"/>
      <c r="DG20" s="1010"/>
      <c r="DH20" s="1010"/>
      <c r="DI20" s="1010"/>
      <c r="DJ20" s="1010"/>
      <c r="DK20" s="1010"/>
      <c r="DL20" s="1010"/>
      <c r="DM20" s="1010"/>
      <c r="DN20" s="1010"/>
      <c r="DO20" s="1010"/>
      <c r="DP20" s="1010"/>
      <c r="DQ20" s="1010"/>
      <c r="DR20" s="1010"/>
      <c r="DS20" s="1010"/>
      <c r="DT20" s="1010"/>
      <c r="DU20" s="1010"/>
      <c r="DV20" s="1010"/>
      <c r="DW20" s="1010"/>
      <c r="DX20" s="1010"/>
      <c r="DY20" s="1010"/>
      <c r="DZ20" s="1010"/>
      <c r="EA20" s="1010"/>
      <c r="EB20" s="1010"/>
      <c r="EC20" s="1010"/>
      <c r="ED20" s="1010"/>
      <c r="EE20" s="1010"/>
      <c r="EF20" s="1010"/>
      <c r="EG20" s="1010"/>
      <c r="EH20" s="1010"/>
      <c r="EI20" s="1010"/>
      <c r="EJ20" s="1010"/>
      <c r="EK20" s="1010"/>
      <c r="EL20" s="1010"/>
      <c r="EM20" s="1010"/>
      <c r="EN20" s="1010"/>
      <c r="EO20" s="1010"/>
      <c r="EP20" s="1010"/>
      <c r="EQ20" s="1010"/>
      <c r="ER20" s="1010"/>
      <c r="ES20" s="1010"/>
      <c r="ET20" s="1010"/>
      <c r="EU20" s="1010"/>
      <c r="EV20" s="1010"/>
      <c r="EW20" s="1010"/>
      <c r="EX20" s="1010"/>
      <c r="EY20" s="1010"/>
      <c r="EZ20" s="1010"/>
      <c r="FA20" s="1010"/>
      <c r="FB20" s="1010"/>
      <c r="FC20" s="1010"/>
      <c r="FD20" s="1010"/>
      <c r="FE20" s="1010"/>
      <c r="FF20" s="1010"/>
      <c r="FG20" s="1010"/>
      <c r="FH20" s="1010"/>
      <c r="FI20" s="1010"/>
      <c r="FJ20" s="1010"/>
      <c r="FK20" s="1010"/>
      <c r="FL20" s="1010"/>
      <c r="FM20" s="1010"/>
      <c r="FN20" s="1010"/>
      <c r="FO20" s="1010"/>
      <c r="FP20" s="1010"/>
      <c r="FQ20" s="1010"/>
      <c r="FR20" s="1010"/>
      <c r="FS20" s="1010"/>
      <c r="FT20" s="1010"/>
      <c r="FU20" s="1010"/>
      <c r="FV20" s="1010"/>
      <c r="FW20" s="1010"/>
      <c r="FX20" s="1006"/>
      <c r="GC20" s="970">
        <v>0</v>
      </c>
    </row>
    <row r="21" s="970" customFormat="1" ht="12.75" customHeight="1">
      <c r="A21" s="972"/>
      <c r="B21" s="972"/>
      <c r="C21" s="972"/>
      <c r="D21" s="972"/>
      <c r="E21" s="972"/>
      <c r="F21" s="1001"/>
      <c r="G21" s="1001"/>
      <c r="H21" s="1001"/>
      <c r="I21" s="1001"/>
      <c r="J21" s="1001"/>
      <c r="K21" s="1001"/>
      <c r="L21" s="1001"/>
      <c r="M21" s="1001"/>
      <c r="N21" s="1001"/>
      <c r="O21" s="1001"/>
      <c r="P21" s="1001"/>
      <c r="Q21" s="1001"/>
      <c r="R21" s="1001"/>
      <c r="S21" s="1011"/>
      <c r="T21" s="1011"/>
      <c r="U21" s="1001"/>
      <c r="V21" s="1001"/>
      <c r="W21" s="1001"/>
      <c r="X21" s="1001"/>
      <c r="Y21" s="1001"/>
      <c r="Z21" s="1001"/>
      <c r="AA21" s="1001"/>
      <c r="AB21" s="1001"/>
      <c r="AC21" s="1001"/>
      <c r="AD21" s="1001"/>
      <c r="AE21" s="1001"/>
      <c r="AF21" s="1001"/>
      <c r="AG21" s="1001"/>
      <c r="AH21" s="1001"/>
      <c r="AI21" s="1001"/>
      <c r="AJ21" s="1001"/>
      <c r="AK21" s="1001"/>
      <c r="AL21" s="1001"/>
      <c r="AM21" s="1001"/>
      <c r="AN21" s="1001"/>
      <c r="AO21" s="1001"/>
      <c r="AP21" s="1001"/>
      <c r="AQ21" s="1001"/>
      <c r="AR21" s="1001"/>
      <c r="AS21" s="1001"/>
      <c r="AT21" s="1001"/>
      <c r="AU21" s="1001"/>
      <c r="AV21" s="1001"/>
      <c r="AW21" s="1001"/>
      <c r="AX21" s="1001"/>
      <c r="AY21" s="1001"/>
      <c r="AZ21" s="1001"/>
      <c r="BA21" s="1001"/>
      <c r="BB21" s="1001"/>
      <c r="BC21" s="1001"/>
      <c r="BD21" s="1001"/>
      <c r="BE21" s="1001"/>
      <c r="BF21" s="1001"/>
      <c r="BG21" s="1001"/>
      <c r="BH21" s="1001"/>
      <c r="BI21" s="1001"/>
      <c r="BJ21" s="1001"/>
      <c r="BK21" s="1001"/>
      <c r="BL21" s="1001"/>
      <c r="BM21" s="1001"/>
      <c r="BN21" s="1001"/>
      <c r="BO21" s="1001"/>
      <c r="BP21" s="1001"/>
      <c r="BQ21" s="1001"/>
      <c r="BR21" s="1001"/>
      <c r="BS21" s="1001"/>
      <c r="BT21" s="1001"/>
      <c r="BU21" s="1001"/>
      <c r="BV21" s="1001"/>
      <c r="BW21" s="1001"/>
      <c r="BX21" s="1001"/>
      <c r="BY21" s="1001"/>
      <c r="BZ21" s="1001"/>
      <c r="CA21" s="1001"/>
      <c r="CB21" s="1001"/>
      <c r="CC21" s="1001"/>
      <c r="CD21" s="1001"/>
      <c r="CE21" s="1001"/>
      <c r="CF21" s="1001"/>
      <c r="CG21" s="1001"/>
      <c r="CH21" s="1001"/>
      <c r="CI21" s="1001"/>
      <c r="CJ21" s="1001"/>
      <c r="CK21" s="1001"/>
      <c r="CL21" s="1001"/>
      <c r="CM21" s="1001"/>
      <c r="CN21" s="1001"/>
      <c r="CO21" s="1001"/>
      <c r="CP21" s="1001"/>
      <c r="CQ21" s="1001"/>
      <c r="CR21" s="1001"/>
      <c r="CS21" s="1001"/>
      <c r="CT21" s="1001"/>
      <c r="CU21" s="1001"/>
      <c r="CV21" s="1001"/>
      <c r="CW21" s="1001"/>
      <c r="CX21" s="1001"/>
      <c r="CY21" s="1001"/>
      <c r="CZ21" s="1001"/>
      <c r="DA21" s="1001"/>
      <c r="DB21" s="1001"/>
      <c r="DC21" s="1001"/>
      <c r="DD21" s="1001"/>
      <c r="DE21" s="1001"/>
      <c r="DF21" s="1001"/>
      <c r="DG21" s="1001"/>
      <c r="DH21" s="1001"/>
      <c r="DI21" s="1001"/>
      <c r="DJ21" s="1001"/>
      <c r="DK21" s="1001"/>
      <c r="DL21" s="1001"/>
      <c r="DM21" s="1001"/>
      <c r="DN21" s="1001"/>
      <c r="DO21" s="1001"/>
      <c r="DP21" s="1001"/>
      <c r="DQ21" s="1001"/>
      <c r="DR21" s="1001"/>
      <c r="DS21" s="1001"/>
      <c r="DT21" s="1001"/>
      <c r="DU21" s="1001"/>
      <c r="DV21" s="1001"/>
      <c r="DW21" s="1001"/>
      <c r="DX21" s="1001"/>
      <c r="DY21" s="1001"/>
      <c r="DZ21" s="1001"/>
      <c r="EA21" s="1001"/>
      <c r="EB21" s="1001"/>
      <c r="EC21" s="1001"/>
      <c r="ED21" s="1001"/>
      <c r="EE21" s="1001"/>
      <c r="EF21" s="1001"/>
      <c r="EG21" s="1001"/>
      <c r="EH21" s="1001"/>
      <c r="EI21" s="1001"/>
      <c r="EJ21" s="1001"/>
      <c r="EK21" s="1001"/>
      <c r="EL21" s="1001"/>
      <c r="EM21" s="1001"/>
      <c r="EN21" s="1001"/>
      <c r="EO21" s="1001"/>
      <c r="EP21" s="1001"/>
      <c r="EQ21" s="1001"/>
      <c r="ER21" s="1001"/>
      <c r="ES21" s="1001"/>
      <c r="ET21" s="1001"/>
      <c r="EU21" s="1001"/>
      <c r="EV21" s="1001"/>
      <c r="EW21" s="1001"/>
      <c r="EX21" s="1001"/>
      <c r="EY21" s="1001"/>
      <c r="EZ21" s="1001"/>
      <c r="FA21" s="1001"/>
      <c r="FB21" s="1001"/>
      <c r="FC21" s="1001"/>
      <c r="FD21" s="1001"/>
      <c r="FE21" s="1001"/>
      <c r="FF21" s="1001"/>
      <c r="FG21" s="1001"/>
      <c r="FH21" s="1001"/>
      <c r="FI21" s="1001"/>
      <c r="FJ21" s="1001"/>
      <c r="FK21" s="1001"/>
      <c r="FL21" s="1001"/>
      <c r="FM21" s="1001"/>
      <c r="FN21" s="1001"/>
      <c r="FO21" s="1001"/>
      <c r="FP21" s="1001"/>
      <c r="FQ21" s="1001"/>
      <c r="FR21" s="1001"/>
      <c r="FS21" s="1001"/>
      <c r="FT21" s="1001"/>
      <c r="FU21" s="1001"/>
      <c r="FV21" s="1001"/>
      <c r="FW21" s="1001"/>
      <c r="FX21" s="972"/>
      <c r="FY21" s="972"/>
      <c r="FZ21" s="972"/>
      <c r="GA21" s="972"/>
      <c r="GB21" s="972"/>
      <c r="GC21" s="970">
        <v>12</v>
      </c>
    </row>
    <row r="22" s="970" customFormat="1" ht="12.75" customHeight="1">
      <c r="A22" s="972"/>
      <c r="B22" s="972"/>
      <c r="C22" s="972"/>
      <c r="D22" s="972"/>
      <c r="E22" s="972"/>
      <c r="FX22" s="972"/>
      <c r="FY22" s="972"/>
      <c r="FZ22" s="972"/>
      <c r="GA22" s="972"/>
      <c r="GB22" s="972"/>
      <c r="GC22" s="970">
        <v>12</v>
      </c>
    </row>
    <row r="23" s="968" customFormat="1" ht="12.75" customHeight="1">
      <c r="A23" s="972"/>
      <c r="B23" s="972"/>
      <c r="C23" s="972"/>
      <c r="D23" s="972"/>
      <c r="E23" s="972"/>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c r="AQ23" s="180"/>
      <c r="AR23" s="180"/>
      <c r="AS23" s="180"/>
      <c r="AT23" s="180"/>
      <c r="AU23" s="180"/>
      <c r="AV23" s="180"/>
      <c r="AW23" s="180"/>
      <c r="AX23" s="180"/>
      <c r="AY23" s="180"/>
      <c r="AZ23" s="180"/>
      <c r="BA23" s="180"/>
      <c r="BB23" s="180"/>
      <c r="BC23" s="180"/>
      <c r="BD23" s="180"/>
      <c r="BE23" s="180"/>
      <c r="BF23" s="180"/>
      <c r="BG23" s="180"/>
      <c r="BH23" s="180"/>
      <c r="BI23" s="180"/>
      <c r="BJ23" s="180"/>
      <c r="BK23" s="180"/>
      <c r="BL23" s="180"/>
      <c r="BM23" s="180"/>
      <c r="BN23" s="180"/>
      <c r="BO23" s="180"/>
      <c r="BP23" s="180"/>
      <c r="BQ23" s="180"/>
      <c r="BR23" s="180"/>
      <c r="BS23" s="180"/>
      <c r="BT23" s="1012"/>
      <c r="BU23" s="1012"/>
      <c r="BV23" s="1012"/>
      <c r="BW23" s="1012"/>
      <c r="BX23" s="1012"/>
      <c r="BY23" s="1012"/>
      <c r="BZ23" s="1012"/>
      <c r="CA23" s="1012"/>
      <c r="CB23" s="1012"/>
      <c r="CC23" s="1012"/>
      <c r="CD23" s="1012"/>
      <c r="CE23" s="1012"/>
      <c r="CF23" s="1012"/>
      <c r="CG23" s="1012"/>
      <c r="CH23" s="1012"/>
      <c r="CI23" s="1012"/>
      <c r="CJ23" s="1012"/>
      <c r="CK23" s="1012"/>
      <c r="CL23" s="1012"/>
      <c r="CM23" s="1012"/>
      <c r="CN23" s="1012"/>
      <c r="CO23" s="1012"/>
      <c r="CP23" s="1012"/>
      <c r="CQ23" s="1012"/>
      <c r="CR23" s="1012"/>
      <c r="CS23" s="1012"/>
      <c r="CT23" s="1012"/>
      <c r="CU23" s="1012"/>
      <c r="CV23" s="1012"/>
      <c r="CW23" s="1012"/>
      <c r="CX23" s="1012"/>
      <c r="CY23" s="1012"/>
      <c r="CZ23" s="1012"/>
      <c r="DA23" s="1012"/>
      <c r="DB23" s="1012"/>
      <c r="DC23" s="1012"/>
      <c r="DD23" s="1012"/>
      <c r="DE23" s="1012"/>
      <c r="DF23" s="1012"/>
      <c r="DG23" s="1012"/>
      <c r="DH23" s="1012"/>
      <c r="DI23" s="1012"/>
      <c r="DJ23" s="1012"/>
      <c r="DK23" s="1012"/>
      <c r="DL23" s="1012"/>
      <c r="DM23" s="1012"/>
      <c r="DN23" s="1012"/>
      <c r="DO23" s="1012"/>
      <c r="DP23" s="1012"/>
      <c r="DQ23" s="1012"/>
      <c r="DR23" s="1012"/>
      <c r="DS23" s="1012"/>
      <c r="DT23" s="1012"/>
      <c r="DU23" s="1012"/>
      <c r="DV23" s="1012"/>
      <c r="DW23" s="1012"/>
      <c r="DX23" s="1012"/>
      <c r="FX23" s="972"/>
      <c r="FY23" s="972"/>
      <c r="FZ23" s="972"/>
      <c r="GA23" s="972"/>
      <c r="GB23" s="972"/>
      <c r="GC23" s="968">
        <v>12</v>
      </c>
    </row>
    <row r="24" ht="12.75" customHeight="1">
      <c r="S24" s="972"/>
      <c r="T24" s="972"/>
      <c r="U24" s="972"/>
      <c r="V24" s="972"/>
      <c r="W24" s="972"/>
      <c r="X24" s="972"/>
      <c r="Y24" s="972"/>
      <c r="Z24" s="972"/>
      <c r="AA24" s="972"/>
      <c r="AB24" s="972"/>
      <c r="FX24" s="972"/>
      <c r="FY24" s="972"/>
      <c r="FZ24" s="972"/>
      <c r="GA24" s="972"/>
      <c r="GB24" s="972"/>
      <c r="GC24" s="968">
        <v>12</v>
      </c>
    </row>
    <row r="25" ht="12" hidden="1" customHeight="1">
      <c r="A25" s="968" t="s">
        <v>82</v>
      </c>
      <c r="B25" s="969">
        <v>0</v>
      </c>
      <c r="C25" s="968">
        <v>0</v>
      </c>
      <c r="D25" s="968">
        <v>0</v>
      </c>
      <c r="E25" s="968">
        <v>3</v>
      </c>
      <c r="F25" s="968">
        <v>6</v>
      </c>
      <c r="G25" s="968">
        <v>18</v>
      </c>
      <c r="H25" s="968">
        <v>27</v>
      </c>
      <c r="I25" s="968">
        <v>18</v>
      </c>
      <c r="J25" s="968">
        <v>0</v>
      </c>
      <c r="K25" s="968">
        <v>0</v>
      </c>
      <c r="L25" s="968">
        <v>0</v>
      </c>
      <c r="M25" s="968">
        <v>0</v>
      </c>
      <c r="N25" s="968">
        <v>0</v>
      </c>
      <c r="O25" s="968">
        <v>0</v>
      </c>
      <c r="P25" s="968">
        <v>0</v>
      </c>
      <c r="Q25" s="968">
        <v>0</v>
      </c>
      <c r="R25" s="968">
        <v>0</v>
      </c>
      <c r="S25" s="968">
        <v>0</v>
      </c>
      <c r="T25" s="968">
        <v>0</v>
      </c>
      <c r="U25" s="968">
        <v>0</v>
      </c>
      <c r="V25" s="968">
        <v>0</v>
      </c>
      <c r="W25" s="968">
        <v>0</v>
      </c>
      <c r="X25" s="968">
        <v>0</v>
      </c>
      <c r="Y25" s="968">
        <v>0</v>
      </c>
      <c r="Z25" s="968">
        <v>0</v>
      </c>
      <c r="AA25" s="968">
        <v>0</v>
      </c>
      <c r="AB25" s="968">
        <v>0</v>
      </c>
      <c r="AC25" s="968">
        <v>0</v>
      </c>
      <c r="AD25" s="968">
        <v>0</v>
      </c>
      <c r="AE25" s="968">
        <v>0</v>
      </c>
      <c r="AF25" s="968">
        <v>0</v>
      </c>
      <c r="AG25" s="968">
        <v>0</v>
      </c>
      <c r="AH25" s="968">
        <v>0</v>
      </c>
      <c r="AI25" s="968">
        <v>0</v>
      </c>
      <c r="AJ25" s="968">
        <v>0</v>
      </c>
      <c r="AK25" s="968">
        <v>0</v>
      </c>
      <c r="AL25" s="968">
        <v>0</v>
      </c>
      <c r="AM25" s="968">
        <v>0</v>
      </c>
      <c r="AN25" s="968">
        <v>0</v>
      </c>
      <c r="AO25" s="968">
        <v>0</v>
      </c>
      <c r="AP25" s="968">
        <v>0</v>
      </c>
      <c r="AQ25" s="968">
        <v>0</v>
      </c>
      <c r="AR25" s="968">
        <v>0</v>
      </c>
      <c r="AS25" s="968">
        <v>0</v>
      </c>
      <c r="AT25" s="968">
        <v>0</v>
      </c>
      <c r="AU25" s="968">
        <v>0</v>
      </c>
      <c r="AV25" s="968">
        <v>0</v>
      </c>
      <c r="AW25" s="968">
        <v>0</v>
      </c>
      <c r="AX25" s="968">
        <v>0</v>
      </c>
      <c r="AY25" s="968">
        <v>0</v>
      </c>
      <c r="AZ25" s="968">
        <v>0</v>
      </c>
      <c r="BA25" s="968">
        <v>0</v>
      </c>
      <c r="BB25" s="968">
        <v>0</v>
      </c>
      <c r="BC25" s="968">
        <v>0</v>
      </c>
      <c r="BD25" s="968">
        <v>0</v>
      </c>
      <c r="BE25" s="968">
        <v>0</v>
      </c>
      <c r="BF25" s="968">
        <v>0</v>
      </c>
      <c r="BG25" s="968">
        <v>0</v>
      </c>
      <c r="BH25" s="968">
        <v>0</v>
      </c>
      <c r="BI25" s="968">
        <v>0</v>
      </c>
      <c r="BJ25" s="968">
        <v>0</v>
      </c>
      <c r="BK25" s="968">
        <v>0</v>
      </c>
      <c r="BL25" s="968">
        <v>0</v>
      </c>
      <c r="BM25" s="968">
        <v>0</v>
      </c>
      <c r="BN25" s="968">
        <v>0</v>
      </c>
      <c r="BO25" s="968">
        <v>0</v>
      </c>
      <c r="BP25" s="968">
        <v>0</v>
      </c>
      <c r="BQ25" s="968">
        <v>0</v>
      </c>
      <c r="BR25" s="968">
        <v>0</v>
      </c>
      <c r="BS25" s="968">
        <v>0</v>
      </c>
      <c r="BT25" s="968">
        <v>0</v>
      </c>
      <c r="BU25" s="968">
        <v>0</v>
      </c>
      <c r="BV25" s="968">
        <v>0</v>
      </c>
      <c r="BW25" s="968">
        <v>0</v>
      </c>
      <c r="BX25" s="968">
        <v>0</v>
      </c>
      <c r="BY25" s="968">
        <v>0</v>
      </c>
      <c r="BZ25" s="968">
        <v>0</v>
      </c>
      <c r="CA25" s="968">
        <v>0</v>
      </c>
      <c r="CB25" s="968">
        <v>0</v>
      </c>
      <c r="CC25" s="968">
        <v>0</v>
      </c>
      <c r="CD25" s="968">
        <v>0</v>
      </c>
      <c r="CE25" s="968">
        <v>0</v>
      </c>
      <c r="CF25" s="968">
        <v>0</v>
      </c>
      <c r="CG25" s="968">
        <v>0</v>
      </c>
      <c r="CH25" s="968">
        <v>0</v>
      </c>
      <c r="CI25" s="968">
        <v>0</v>
      </c>
      <c r="CJ25" s="968">
        <v>0</v>
      </c>
      <c r="CK25" s="968">
        <v>0</v>
      </c>
      <c r="CL25" s="968">
        <v>0</v>
      </c>
      <c r="CM25" s="968">
        <v>0</v>
      </c>
      <c r="CN25" s="968">
        <v>0</v>
      </c>
      <c r="CO25" s="968">
        <v>0</v>
      </c>
      <c r="CP25" s="968">
        <v>0</v>
      </c>
      <c r="CQ25" s="968">
        <v>0</v>
      </c>
      <c r="CR25" s="968">
        <v>0</v>
      </c>
      <c r="CS25" s="968">
        <v>0</v>
      </c>
      <c r="CT25" s="968">
        <v>0</v>
      </c>
      <c r="CU25" s="968">
        <v>0</v>
      </c>
      <c r="CV25" s="968">
        <v>0</v>
      </c>
      <c r="CW25" s="968">
        <v>0</v>
      </c>
      <c r="CX25" s="968">
        <v>0</v>
      </c>
      <c r="CY25" s="968">
        <v>0</v>
      </c>
      <c r="CZ25" s="968">
        <v>0</v>
      </c>
      <c r="DA25" s="968">
        <v>0</v>
      </c>
      <c r="DB25" s="968">
        <v>0</v>
      </c>
      <c r="DC25" s="968">
        <v>0</v>
      </c>
      <c r="DD25" s="968">
        <v>0</v>
      </c>
      <c r="DE25" s="968">
        <v>0</v>
      </c>
      <c r="DF25" s="968">
        <v>0</v>
      </c>
      <c r="DG25" s="968">
        <v>0</v>
      </c>
      <c r="DH25" s="968">
        <v>0</v>
      </c>
      <c r="DI25" s="968">
        <v>0</v>
      </c>
      <c r="DJ25" s="968">
        <v>0</v>
      </c>
      <c r="DK25" s="968">
        <v>0</v>
      </c>
      <c r="DL25" s="968">
        <v>0</v>
      </c>
      <c r="DM25" s="968">
        <v>0</v>
      </c>
      <c r="DN25" s="968">
        <v>0</v>
      </c>
      <c r="DO25" s="968">
        <v>0</v>
      </c>
      <c r="DP25" s="968">
        <v>0</v>
      </c>
      <c r="DQ25" s="968">
        <v>0</v>
      </c>
      <c r="DR25" s="968">
        <v>0</v>
      </c>
      <c r="DS25" s="968">
        <v>0</v>
      </c>
      <c r="DT25" s="968">
        <v>0</v>
      </c>
      <c r="DU25" s="968">
        <v>0</v>
      </c>
      <c r="DV25" s="968">
        <v>0</v>
      </c>
      <c r="DW25" s="968">
        <v>0</v>
      </c>
      <c r="DX25" s="968">
        <v>0</v>
      </c>
      <c r="DY25" s="968">
        <v>0</v>
      </c>
      <c r="DZ25" s="968">
        <v>0</v>
      </c>
      <c r="EA25" s="968">
        <v>0</v>
      </c>
      <c r="EB25" s="968">
        <v>0</v>
      </c>
      <c r="EC25" s="968">
        <v>0</v>
      </c>
      <c r="ED25" s="968">
        <v>0</v>
      </c>
      <c r="EE25" s="968">
        <v>0</v>
      </c>
      <c r="EF25" s="968">
        <v>0</v>
      </c>
      <c r="EG25" s="968">
        <v>0</v>
      </c>
      <c r="EH25" s="968">
        <v>0</v>
      </c>
      <c r="EI25" s="968">
        <v>0</v>
      </c>
      <c r="EJ25" s="968">
        <v>0</v>
      </c>
      <c r="EK25" s="968">
        <v>0</v>
      </c>
      <c r="EL25" s="968">
        <v>0</v>
      </c>
      <c r="EM25" s="968">
        <v>0</v>
      </c>
      <c r="EN25" s="968">
        <v>0</v>
      </c>
      <c r="EO25" s="968">
        <v>0</v>
      </c>
      <c r="EP25" s="968">
        <v>0</v>
      </c>
      <c r="EQ25" s="968">
        <v>0</v>
      </c>
      <c r="ER25" s="968">
        <v>0</v>
      </c>
      <c r="ES25" s="968">
        <v>0</v>
      </c>
      <c r="ET25" s="968">
        <v>0</v>
      </c>
      <c r="EU25" s="968">
        <v>0</v>
      </c>
      <c r="EV25" s="968">
        <v>0</v>
      </c>
      <c r="EW25" s="968">
        <v>0</v>
      </c>
      <c r="EX25" s="968">
        <v>0</v>
      </c>
      <c r="EY25" s="968">
        <v>0</v>
      </c>
      <c r="EZ25" s="968">
        <v>0</v>
      </c>
      <c r="FA25" s="968">
        <v>0</v>
      </c>
      <c r="FB25" s="968">
        <v>0</v>
      </c>
      <c r="FC25" s="968">
        <v>0</v>
      </c>
      <c r="FD25" s="968">
        <v>0</v>
      </c>
      <c r="FE25" s="968">
        <v>0</v>
      </c>
      <c r="FF25" s="968">
        <v>0</v>
      </c>
      <c r="FG25" s="968">
        <v>0</v>
      </c>
      <c r="FH25" s="968">
        <v>0</v>
      </c>
      <c r="FI25" s="968">
        <v>0</v>
      </c>
      <c r="FJ25" s="968">
        <v>0</v>
      </c>
      <c r="FK25" s="968">
        <v>0</v>
      </c>
      <c r="FL25" s="968">
        <v>0</v>
      </c>
      <c r="FM25" s="968">
        <v>0</v>
      </c>
      <c r="FN25" s="968">
        <v>0</v>
      </c>
      <c r="FO25" s="968">
        <v>0</v>
      </c>
      <c r="FP25" s="968">
        <v>0</v>
      </c>
      <c r="FQ25" s="968">
        <v>0</v>
      </c>
      <c r="FR25" s="968">
        <v>0</v>
      </c>
      <c r="FS25" s="968">
        <v>0</v>
      </c>
      <c r="FT25" s="968">
        <v>0</v>
      </c>
      <c r="FU25" s="968">
        <v>0</v>
      </c>
      <c r="FV25" s="968">
        <v>0</v>
      </c>
      <c r="FW25" s="968">
        <v>0</v>
      </c>
      <c r="FX25" s="968">
        <v>8</v>
      </c>
      <c r="FY25" s="968">
        <v>8</v>
      </c>
      <c r="FZ25" s="968">
        <v>8</v>
      </c>
      <c r="GA25" s="968">
        <v>8</v>
      </c>
      <c r="GB25" s="968">
        <v>8</v>
      </c>
      <c r="GC25" s="968">
        <v>12</v>
      </c>
    </row>
  </sheetData>
  <sheetProtection autoFilter="0" deleteColumns="0" deleteRows="0" formatCells="1" formatColumns="0" formatRows="0" insertColumns="1" insertHyperlinks="1" insertRows="0" pivotTables="1" selectLockedCells="0" selectUnlockedCells="0" sheet="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4" width="10.00390625"/>
    <col hidden="1" min="19" max="19" style="50" width="10.57421875"/>
  </cols>
  <sheetData>
    <row r="1" s="53" customFormat="1" ht="15" hidden="1" customHeight="1">
      <c r="C1" s="113"/>
      <c r="H1" s="53">
        <v>4</v>
      </c>
      <c r="R1" s="166"/>
      <c r="S1" s="53" t="s">
        <v>14</v>
      </c>
    </row>
    <row r="2" ht="22.5" hidden="1" customHeight="1">
      <c r="C2" s="1013" t="s">
        <v>496</v>
      </c>
      <c r="D2" s="218"/>
      <c r="E2" s="462"/>
      <c r="F2" s="157" t="str">
        <f>IF(TEMPLATE_SPHERE="HEAT","Гкал/час","тыс. куб. м/сутки")</f>
        <v xml:space="preserve">тыс. куб. м/сутки</v>
      </c>
      <c r="G2" s="904"/>
      <c r="H2" s="904"/>
      <c r="I2" s="499"/>
      <c r="S2" s="50">
        <v>0</v>
      </c>
    </row>
    <row r="3" s="53" customFormat="1" ht="15" hidden="1" customHeight="1">
      <c r="C3" s="113"/>
      <c r="R3" s="166"/>
      <c r="S3" s="53">
        <v>0</v>
      </c>
    </row>
    <row r="4" ht="15.75" customHeight="1">
      <c r="C4" s="149"/>
      <c r="D4" s="50"/>
      <c r="E4" s="50"/>
      <c r="F4" s="50"/>
      <c r="G4" s="50"/>
      <c r="H4" s="50"/>
      <c r="S4" s="50">
        <v>15</v>
      </c>
    </row>
    <row r="5" ht="39.75" customHeight="1">
      <c r="C5" s="149"/>
      <c r="D5" s="466"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466"/>
      <c r="F5" s="466"/>
      <c r="G5" s="466"/>
      <c r="H5" s="466"/>
      <c r="I5" s="53"/>
      <c r="S5" s="50">
        <v>38</v>
      </c>
    </row>
    <row r="6" ht="15.75" customHeight="1">
      <c r="C6" s="149"/>
      <c r="D6" s="320" t="str">
        <f>IF(org=0,"Не определено",org)</f>
        <v xml:space="preserve">филиал Пермская ГРЭС АО "Интер РАО - Электрогенерация"</v>
      </c>
      <c r="E6" s="320"/>
      <c r="F6" s="320"/>
      <c r="G6" s="320"/>
      <c r="H6" s="320"/>
      <c r="I6" s="53"/>
      <c r="S6" s="50">
        <v>15</v>
      </c>
    </row>
    <row r="7" s="50" customFormat="1" ht="15.75" customHeight="1">
      <c r="A7" s="56"/>
      <c r="C7" s="149"/>
      <c r="D7" s="86"/>
      <c r="E7" s="86"/>
      <c r="F7" s="86"/>
      <c r="G7" s="86"/>
      <c r="H7" s="356"/>
      <c r="I7" s="53"/>
      <c r="R7" s="114"/>
      <c r="S7" s="50">
        <v>15</v>
      </c>
    </row>
    <row r="8" ht="1.05" customHeight="1">
      <c r="C8" s="149"/>
      <c r="D8" s="50"/>
      <c r="E8" s="50"/>
      <c r="F8" s="50"/>
      <c r="G8" s="50"/>
      <c r="H8" s="53" t="s">
        <v>117</v>
      </c>
      <c r="S8" s="50">
        <v>1</v>
      </c>
    </row>
    <row r="9" ht="15.75" customHeight="1">
      <c r="C9" s="149"/>
      <c r="D9" s="778"/>
      <c r="E9" s="779" t="s">
        <v>105</v>
      </c>
      <c r="F9" s="780"/>
      <c r="G9" s="935" t="str">
        <f>IF(G8="","",INDEX(DIFFERENTIATION_UNMERGE_VD,MATCH(G8,DIFFERENTIATION_ID_DIFF,0)))</f>
        <v/>
      </c>
      <c r="H9" s="935">
        <f>IF(H8="","",INDEX(DIFFERENTIATION_UNMERGE_VD,MATCH(H8,DIFFERENTIATION_ID_DIFF,0)))</f>
        <v>0</v>
      </c>
      <c r="I9" s="157" t="s">
        <v>303</v>
      </c>
      <c r="S9" s="50">
        <v>15</v>
      </c>
    </row>
    <row r="10" s="50" customFormat="1" ht="15.75" customHeight="1">
      <c r="A10" s="56"/>
      <c r="C10" s="149"/>
      <c r="D10" s="778"/>
      <c r="E10" s="779" t="s">
        <v>566</v>
      </c>
      <c r="F10" s="780"/>
      <c r="G10" s="935" t="str">
        <f>IF(G8="","",INDEX(DIFFERENTIATION_UNMERGE_AREA,MATCH(G8,DIFFERENTIATION_ID_DIFF,0)))</f>
        <v/>
      </c>
      <c r="H10" s="935" t="str">
        <f>IF(H8="","",INDEX(DIFFERENTIATION_UNMERGE_AREA,MATCH(H8,DIFFERENTIATION_ID_DIFF,0)))</f>
        <v/>
      </c>
      <c r="I10" s="157"/>
      <c r="R10" s="114"/>
      <c r="S10" s="50">
        <v>15</v>
      </c>
    </row>
    <row r="11" s="50" customFormat="1" ht="15.75" customHeight="1">
      <c r="A11" s="56"/>
      <c r="C11" s="149"/>
      <c r="D11" s="778"/>
      <c r="E11" s="779" t="s">
        <v>567</v>
      </c>
      <c r="F11" s="780"/>
      <c r="G11" s="935" t="str">
        <f>IF(G8="","",INDEX(DIFFERENTIATION_UNMERGE_SYSTEM,MATCH(G8,DIFFERENTIATION_ID_DIFF,0)))</f>
        <v/>
      </c>
      <c r="H11" s="935" t="str">
        <f>IF(H8="","",INDEX(DIFFERENTIATION_UNMERGE_SYSTEM,MATCH(H8,DIFFERENTIATION_ID_DIFF,0)))</f>
        <v xml:space="preserve">без дифференциации</v>
      </c>
      <c r="I11" s="157"/>
      <c r="R11" s="114"/>
      <c r="S11" s="50">
        <v>15</v>
      </c>
    </row>
    <row r="12" s="50" customFormat="1" ht="15.75" customHeight="1">
      <c r="A12" s="56"/>
      <c r="C12" s="149"/>
      <c r="D12" s="782" t="s">
        <v>302</v>
      </c>
      <c r="E12" s="783"/>
      <c r="F12" s="783"/>
      <c r="G12" s="779"/>
      <c r="H12" s="779"/>
      <c r="I12" s="157"/>
      <c r="R12" s="114"/>
      <c r="S12" s="50">
        <v>15</v>
      </c>
    </row>
    <row r="13" ht="35.649999999999999" customHeight="1">
      <c r="C13" s="149"/>
      <c r="D13" s="157" t="s">
        <v>88</v>
      </c>
      <c r="E13" s="157" t="s">
        <v>304</v>
      </c>
      <c r="F13" s="157" t="s">
        <v>568</v>
      </c>
      <c r="G13" s="73" t="s">
        <v>305</v>
      </c>
      <c r="H13" s="73" t="s">
        <v>305</v>
      </c>
      <c r="I13" s="157"/>
      <c r="S13" s="50">
        <v>34</v>
      </c>
    </row>
    <row r="14" ht="15" hidden="1" customHeight="1">
      <c r="C14" s="149"/>
      <c r="D14" s="206" t="s">
        <v>109</v>
      </c>
      <c r="E14" s="206" t="s">
        <v>110</v>
      </c>
      <c r="F14" s="206" t="s">
        <v>90</v>
      </c>
      <c r="G14" s="149" t="str">
        <f>G1&amp;".1"</f>
        <v>.1</v>
      </c>
      <c r="H14" s="149" t="str">
        <f>H1&amp;".1"</f>
        <v>4.1</v>
      </c>
      <c r="I14" s="499"/>
      <c r="S14" s="50">
        <v>0</v>
      </c>
    </row>
    <row r="15" ht="15.75" customHeight="1">
      <c r="A15" s="50"/>
      <c r="C15" s="128"/>
      <c r="D15" s="157">
        <v>1</v>
      </c>
      <c r="E15" s="255" t="str">
        <f>TP_P_A</f>
        <v xml:space="preserve">Количество поданных заявлений</v>
      </c>
      <c r="F15" s="157" t="s">
        <v>1116</v>
      </c>
      <c r="G15" s="1014"/>
      <c r="H15" s="1014"/>
      <c r="I15" s="879"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
        <v>15</v>
      </c>
    </row>
    <row r="16" ht="15.75" customHeight="1">
      <c r="A16" s="50"/>
      <c r="C16" s="128"/>
      <c r="D16" s="157">
        <v>2</v>
      </c>
      <c r="E16" s="255" t="str">
        <f>TP_P_B</f>
        <v xml:space="preserve">Количество исполненных заявлений</v>
      </c>
      <c r="F16" s="157" t="s">
        <v>1116</v>
      </c>
      <c r="G16" s="1014"/>
      <c r="H16" s="1014"/>
      <c r="I16" s="879"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
        <v>15</v>
      </c>
    </row>
    <row r="17" ht="77.700000000000003" customHeight="1">
      <c r="A17" s="50"/>
      <c r="C17" s="128"/>
      <c r="D17" s="157">
        <v>3</v>
      </c>
      <c r="E17" s="255"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157" t="s">
        <v>1116</v>
      </c>
      <c r="G17" s="1014"/>
      <c r="H17" s="1014"/>
      <c r="I17" s="879" t="str">
        <f>TP_P_NOTE_V</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
        <v>74</v>
      </c>
    </row>
    <row r="18" ht="54.75" customHeight="1">
      <c r="A18" s="50"/>
      <c r="C18" s="128"/>
      <c r="D18" s="157">
        <v>4</v>
      </c>
      <c r="E18" s="255" t="str">
        <f>TP_P_V_1</f>
        <v xml:space="preserve">Причины отказа в заключении договора о подключении (технологическом присоединении) к централизованной системе холодного водоснабжения</v>
      </c>
      <c r="F18" s="157" t="s">
        <v>308</v>
      </c>
      <c r="G18" s="692"/>
      <c r="H18" s="692"/>
      <c r="I18" s="255"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8"/>
      <c r="D19" s="157">
        <v>5</v>
      </c>
      <c r="E19" s="255" t="str">
        <f>TP_P_G</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157" t="str">
        <f>IF(TEMPLATE_SPHERE="HEAT","Гкал/час","тыс. куб. м/сутки")</f>
        <v xml:space="preserve">тыс. куб. м/сутки</v>
      </c>
      <c r="G19" s="1015">
        <f>SUM(G20:G22)</f>
        <v>0</v>
      </c>
      <c r="H19" s="1015">
        <f>SUM(H20:H22)</f>
        <v>0</v>
      </c>
      <c r="I19" s="879" t="str">
        <f>TP_P_NOTE_G</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
        <v>57</v>
      </c>
    </row>
    <row r="20" ht="15" hidden="1" customHeight="1">
      <c r="D20" s="50" t="s">
        <v>1117</v>
      </c>
      <c r="E20" s="86"/>
      <c r="F20" s="50"/>
      <c r="G20" s="50"/>
      <c r="H20" s="50"/>
      <c r="I20" s="1016"/>
      <c r="S20" s="50">
        <v>0</v>
      </c>
    </row>
    <row r="21" ht="29.25" customHeight="1">
      <c r="C21" s="128"/>
      <c r="D21" s="218" t="s">
        <v>315</v>
      </c>
      <c r="E21" s="95"/>
      <c r="F21" s="157" t="str">
        <f>IF(TEMPLATE_SPHERE="HEAT","Гкал/час","тыс. куб. м/сутки")</f>
        <v xml:space="preserve">тыс. куб. м/сутки</v>
      </c>
      <c r="G21" s="904"/>
      <c r="H21" s="904"/>
      <c r="I21" s="285" t="str">
        <f>TP_P_NOTE_G_1</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
        <v>28</v>
      </c>
    </row>
    <row r="22" ht="15.75" customHeight="1">
      <c r="A22" s="50"/>
      <c r="C22" s="50"/>
      <c r="D22" s="888"/>
      <c r="E22" s="172" t="s">
        <v>1118</v>
      </c>
      <c r="F22" s="798"/>
      <c r="G22" s="798"/>
      <c r="H22" s="798"/>
      <c r="I22" s="289"/>
      <c r="R22" s="50"/>
      <c r="S22" s="50">
        <v>15</v>
      </c>
    </row>
    <row r="23" ht="22.5" hidden="1" customHeight="1">
      <c r="A23" s="56" t="s">
        <v>82</v>
      </c>
      <c r="B23" s="50">
        <v>0</v>
      </c>
      <c r="C23" s="149">
        <v>4</v>
      </c>
      <c r="D23" s="50">
        <v>6</v>
      </c>
      <c r="E23" s="50">
        <v>36</v>
      </c>
      <c r="F23" s="50">
        <v>9</v>
      </c>
      <c r="G23" s="50">
        <v>0</v>
      </c>
      <c r="H23" s="50">
        <v>40</v>
      </c>
      <c r="I23" s="53">
        <v>93</v>
      </c>
      <c r="J23" s="50">
        <v>10</v>
      </c>
      <c r="K23" s="50">
        <v>10</v>
      </c>
      <c r="L23" s="50">
        <v>10</v>
      </c>
      <c r="M23" s="50">
        <v>10</v>
      </c>
      <c r="N23" s="50">
        <v>10</v>
      </c>
      <c r="O23" s="50">
        <v>10</v>
      </c>
      <c r="P23" s="50">
        <v>10</v>
      </c>
      <c r="Q23" s="50">
        <v>10</v>
      </c>
      <c r="R23" s="114">
        <v>10</v>
      </c>
      <c r="S23" s="50">
        <v>23</v>
      </c>
    </row>
  </sheetData>
  <sheetProtection autoFilter="0" deleteColumns="0" deleteRows="0" formatCells="1" formatColumns="0" formatRows="0" insertColumns="1" insertHyperlinks="1" insertRows="0" pivotTables="1" selectLockedCells="0" selectUnlockedCells="0" sheet="0" sort="0"/>
  <mergeCells count="8">
    <mergeCell ref="I21:I22"/>
    <mergeCell ref="I9:I13"/>
    <mergeCell ref="D5:H5"/>
    <mergeCell ref="D6:H6"/>
    <mergeCell ref="E9:F9"/>
    <mergeCell ref="E10:F10"/>
    <mergeCell ref="E11:F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FA0045-0018-40CB-A540-00360011009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 xr:uid="{00DE001D-00AD-40C3-9856-006600FE007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0400B1-00E2-4A53-A711-00E400A20009}"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92" width="3.00390625"/>
    <col customWidth="1" min="4" max="4" style="50" width="6.00390625"/>
    <col customWidth="1" min="5" max="6" style="50" width="64.00390625"/>
    <col customWidth="1" min="7" max="7" style="50" width="140.00390625"/>
    <col customWidth="1" min="8" max="8" style="50" width="10.00390625"/>
    <col customWidth="1" min="9" max="10" style="129" width="10.00390625"/>
    <col customWidth="1" min="11" max="16" style="50" width="10.00390625"/>
    <col hidden="1" min="17" max="17" style="50" width="10.57421875"/>
  </cols>
  <sheetData>
    <row r="1" ht="22.5" hidden="1" customHeight="1">
      <c r="M1" s="877"/>
      <c r="N1" s="877"/>
      <c r="P1" s="877"/>
      <c r="Q1" s="50" t="s">
        <v>14</v>
      </c>
    </row>
    <row r="2" ht="14.25" hidden="1" customHeight="1">
      <c r="Q2" s="50">
        <v>0</v>
      </c>
    </row>
    <row r="3" ht="14.25" hidden="1" customHeight="1">
      <c r="Q3" s="50">
        <v>0</v>
      </c>
    </row>
    <row r="4" ht="3" customHeight="1">
      <c r="C4" s="553"/>
      <c r="D4" s="91"/>
      <c r="E4" s="91"/>
      <c r="F4" s="880"/>
      <c r="G4" s="880"/>
      <c r="Q4" s="50">
        <v>3</v>
      </c>
    </row>
    <row r="5" ht="29.25" customHeight="1">
      <c r="C5" s="553"/>
      <c r="D5" s="236"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37"/>
      <c r="F5" s="237"/>
      <c r="G5" s="238"/>
      <c r="Q5" s="50">
        <v>28</v>
      </c>
    </row>
    <row r="6" s="50" customFormat="1" ht="18.75" customHeight="1">
      <c r="A6" s="60"/>
      <c r="B6" s="53"/>
      <c r="C6" s="553"/>
      <c r="D6" s="422" t="str">
        <f>IF(org=0,"Не определено",org)</f>
        <v xml:space="preserve">филиал Пермская ГРЭС АО "Интер РАО - Электрогенерация"</v>
      </c>
      <c r="E6" s="423"/>
      <c r="F6" s="423"/>
      <c r="G6" s="424"/>
      <c r="I6" s="129"/>
      <c r="J6" s="129"/>
      <c r="Q6" s="50">
        <v>18</v>
      </c>
    </row>
    <row r="7" ht="14.65" customHeight="1">
      <c r="C7" s="553"/>
      <c r="D7" s="91"/>
      <c r="E7" s="83"/>
      <c r="F7" s="356"/>
      <c r="G7" s="881"/>
      <c r="Q7" s="50">
        <v>14</v>
      </c>
    </row>
    <row r="8" s="50" customFormat="1" ht="1.05" customHeight="1">
      <c r="A8" s="60"/>
      <c r="B8" s="53"/>
      <c r="C8" s="553"/>
      <c r="D8" s="91"/>
      <c r="E8" s="83"/>
      <c r="F8" s="356"/>
      <c r="G8" s="881"/>
      <c r="I8" s="129"/>
      <c r="J8" s="129"/>
      <c r="Q8" s="50">
        <v>1</v>
      </c>
    </row>
    <row r="9" ht="14.65" customHeight="1">
      <c r="C9" s="553"/>
      <c r="D9" s="362" t="s">
        <v>302</v>
      </c>
      <c r="E9" s="362"/>
      <c r="F9" s="362"/>
      <c r="G9" s="885" t="s">
        <v>303</v>
      </c>
      <c r="Q9" s="50">
        <v>14</v>
      </c>
    </row>
    <row r="10" ht="24" customHeight="1">
      <c r="C10" s="553"/>
      <c r="D10" s="362" t="s">
        <v>88</v>
      </c>
      <c r="E10" s="246" t="s">
        <v>304</v>
      </c>
      <c r="F10" s="246" t="s">
        <v>392</v>
      </c>
      <c r="G10" s="885"/>
      <c r="Q10" s="50">
        <v>23</v>
      </c>
    </row>
    <row r="11" ht="12" hidden="1" customHeight="1">
      <c r="C11" s="553"/>
      <c r="D11" s="439"/>
      <c r="E11" s="439"/>
      <c r="F11" s="439"/>
      <c r="G11" s="439"/>
      <c r="Q11" s="50">
        <v>0</v>
      </c>
    </row>
    <row r="12" ht="65.25" customHeight="1">
      <c r="A12" s="143"/>
      <c r="C12" s="553"/>
      <c r="D12" s="359">
        <v>1</v>
      </c>
      <c r="E12" s="1017"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46" t="s">
        <v>308</v>
      </c>
      <c r="G12" s="499"/>
      <c r="Q12" s="50">
        <v>62</v>
      </c>
    </row>
    <row r="13" ht="24" customHeight="1">
      <c r="A13" s="143"/>
      <c r="C13" s="553"/>
      <c r="D13" s="359" t="s">
        <v>1023</v>
      </c>
      <c r="E13" s="94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6" t="s">
        <v>308</v>
      </c>
      <c r="G13" s="499"/>
      <c r="Q13" s="50">
        <v>23</v>
      </c>
    </row>
    <row r="14" ht="14.65" customHeight="1">
      <c r="A14" s="143"/>
      <c r="C14" s="553"/>
      <c r="D14" s="359" t="s">
        <v>1059</v>
      </c>
      <c r="E14" s="1018"/>
      <c r="F14" s="484"/>
      <c r="G14" s="2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3"/>
      <c r="C15" s="553"/>
      <c r="D15" s="888"/>
      <c r="E15" s="235" t="s">
        <v>1119</v>
      </c>
      <c r="F15" s="889"/>
      <c r="G15" s="289"/>
      <c r="Q15" s="50">
        <v>15</v>
      </c>
    </row>
    <row r="16" ht="14.65" customHeight="1">
      <c r="A16" s="143"/>
      <c r="C16" s="553"/>
      <c r="D16" s="359" t="s">
        <v>1025</v>
      </c>
      <c r="E16" s="943"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холодного водоснабжения</v>
      </c>
      <c r="F16" s="246" t="s">
        <v>308</v>
      </c>
      <c r="G16" s="563"/>
      <c r="Q16" s="50">
        <v>14</v>
      </c>
    </row>
    <row r="17" ht="14.65" customHeight="1">
      <c r="A17" s="143"/>
      <c r="C17" s="553"/>
      <c r="D17" s="359" t="s">
        <v>1067</v>
      </c>
      <c r="E17" s="1018"/>
      <c r="F17" s="876"/>
      <c r="G17" s="2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50">
        <v>14</v>
      </c>
    </row>
    <row r="18" s="50" customFormat="1" ht="22" customHeight="1">
      <c r="A18" s="143"/>
      <c r="B18" s="53"/>
      <c r="C18" s="553"/>
      <c r="D18" s="888"/>
      <c r="E18" s="235" t="s">
        <v>1120</v>
      </c>
      <c r="F18" s="1019"/>
      <c r="G18" s="289"/>
      <c r="I18" s="129"/>
      <c r="J18" s="129"/>
      <c r="Q18" s="50">
        <v>21</v>
      </c>
    </row>
    <row r="19" s="50" customFormat="1" ht="256.5" hidden="1" customHeight="1">
      <c r="A19" s="143"/>
      <c r="B19" s="53"/>
      <c r="C19" s="553"/>
      <c r="D19" s="359" t="s">
        <v>1027</v>
      </c>
      <c r="E19" s="943" t="s">
        <v>1121</v>
      </c>
      <c r="F19" s="876"/>
      <c r="G19" s="563" t="s">
        <v>1122</v>
      </c>
      <c r="I19" s="129"/>
      <c r="J19" s="129"/>
      <c r="Q19" s="50">
        <v>0</v>
      </c>
    </row>
    <row r="20" s="50" customFormat="1" ht="14.65" customHeight="1">
      <c r="A20" s="143"/>
      <c r="B20" s="53"/>
      <c r="C20" s="553"/>
      <c r="D20" s="361">
        <v>2</v>
      </c>
      <c r="E20" s="943" t="s">
        <v>1123</v>
      </c>
      <c r="F20" s="246" t="s">
        <v>308</v>
      </c>
      <c r="G20" s="563"/>
      <c r="I20" s="129"/>
      <c r="J20" s="129"/>
      <c r="Q20" s="50">
        <v>14</v>
      </c>
    </row>
    <row r="21" s="50" customFormat="1" ht="18.75" hidden="1" customHeight="1">
      <c r="A21" s="143"/>
      <c r="B21" s="53"/>
      <c r="C21" s="553"/>
      <c r="D21" s="1020" t="s">
        <v>638</v>
      </c>
      <c r="E21" s="1021"/>
      <c r="F21" s="1022"/>
      <c r="G21" s="1023"/>
      <c r="H21" s="838"/>
      <c r="I21" s="129"/>
      <c r="J21" s="129"/>
      <c r="Q21" s="50">
        <v>0</v>
      </c>
    </row>
    <row r="22" ht="15.75" customHeight="1">
      <c r="A22" s="143"/>
      <c r="C22" s="553"/>
      <c r="D22" s="888"/>
      <c r="E22" s="172" t="s">
        <v>324</v>
      </c>
      <c r="F22" s="1019"/>
      <c r="G22" s="826"/>
      <c r="Q22" s="50">
        <v>15</v>
      </c>
    </row>
    <row r="23" s="50" customFormat="1" ht="22.5" hidden="1" customHeight="1">
      <c r="A23" s="143"/>
      <c r="B23" s="53"/>
      <c r="C23" s="553"/>
      <c r="D23" s="359" t="s">
        <v>110</v>
      </c>
      <c r="E23" s="1017" t="s">
        <v>1124</v>
      </c>
      <c r="F23" s="246" t="s">
        <v>308</v>
      </c>
      <c r="G23" s="499"/>
      <c r="I23" s="129"/>
      <c r="J23" s="129"/>
      <c r="Q23" s="50">
        <v>0</v>
      </c>
    </row>
    <row r="24" s="50" customFormat="1" ht="14.25" hidden="1" customHeight="1">
      <c r="A24" s="143"/>
      <c r="B24" s="53"/>
      <c r="C24" s="553"/>
      <c r="D24" s="359" t="s">
        <v>710</v>
      </c>
      <c r="E24" s="943" t="s">
        <v>1125</v>
      </c>
      <c r="F24" s="246" t="s">
        <v>308</v>
      </c>
      <c r="G24" s="563"/>
      <c r="I24" s="129"/>
      <c r="J24" s="129"/>
      <c r="Q24" s="50">
        <v>0</v>
      </c>
    </row>
    <row r="25" s="50" customFormat="1" ht="14.25" hidden="1" customHeight="1">
      <c r="A25" s="143"/>
      <c r="B25" s="53"/>
      <c r="C25" s="553"/>
      <c r="D25" s="359" t="s">
        <v>713</v>
      </c>
      <c r="E25" s="1018"/>
      <c r="F25" s="876"/>
      <c r="G25" s="285" t="s">
        <v>1126</v>
      </c>
      <c r="I25" s="129"/>
      <c r="J25" s="129"/>
      <c r="Q25" s="50">
        <v>0</v>
      </c>
    </row>
    <row r="26" s="50" customFormat="1" ht="22.5" hidden="1" customHeight="1">
      <c r="A26" s="143"/>
      <c r="B26" s="53"/>
      <c r="C26" s="553"/>
      <c r="D26" s="888"/>
      <c r="E26" s="235" t="s">
        <v>1127</v>
      </c>
      <c r="F26" s="1019"/>
      <c r="G26" s="289"/>
      <c r="I26" s="129"/>
      <c r="J26" s="129"/>
      <c r="Q26" s="50">
        <v>0</v>
      </c>
    </row>
    <row r="27" ht="3" customHeight="1">
      <c r="Q27" s="50">
        <v>3</v>
      </c>
    </row>
    <row r="28" ht="14.65" customHeight="1">
      <c r="D28" s="490"/>
      <c r="E28" s="905"/>
      <c r="F28" s="409"/>
      <c r="G28" s="409"/>
      <c r="H28" s="409"/>
      <c r="I28" s="409"/>
      <c r="J28" s="409"/>
      <c r="K28" s="409"/>
      <c r="L28" s="409"/>
      <c r="M28" s="409"/>
      <c r="N28" s="409"/>
      <c r="O28" s="409"/>
      <c r="P28" s="409"/>
      <c r="Q28" s="50">
        <v>14</v>
      </c>
    </row>
    <row r="29" ht="14.65" customHeight="1">
      <c r="D29" s="490"/>
      <c r="E29" s="106"/>
      <c r="Q29" s="50">
        <v>14</v>
      </c>
    </row>
    <row r="30" ht="14.65" customHeight="1">
      <c r="Q30" s="50">
        <v>14</v>
      </c>
    </row>
    <row r="31" ht="14.65" customHeight="1">
      <c r="E31" s="50"/>
      <c r="Q31" s="50">
        <v>14</v>
      </c>
    </row>
    <row r="32" ht="22.5" hidden="1" customHeight="1">
      <c r="A32" s="60" t="s">
        <v>82</v>
      </c>
      <c r="B32" s="53">
        <v>0</v>
      </c>
      <c r="C32" s="492">
        <v>3</v>
      </c>
      <c r="D32" s="50">
        <v>6</v>
      </c>
      <c r="E32" s="50">
        <v>64</v>
      </c>
      <c r="F32" s="50">
        <v>64</v>
      </c>
      <c r="G32" s="50">
        <v>140</v>
      </c>
      <c r="H32" s="50">
        <v>10</v>
      </c>
      <c r="I32" s="129">
        <v>10</v>
      </c>
      <c r="J32" s="129">
        <v>10</v>
      </c>
      <c r="K32" s="50">
        <v>10</v>
      </c>
      <c r="L32" s="50">
        <v>10</v>
      </c>
      <c r="M32" s="50">
        <v>10</v>
      </c>
      <c r="N32" s="50">
        <v>10</v>
      </c>
      <c r="O32" s="50">
        <v>10</v>
      </c>
      <c r="P32" s="50">
        <v>10</v>
      </c>
      <c r="Q32"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G25:G26"/>
    <mergeCell ref="G17:G18"/>
    <mergeCell ref="D9:F9"/>
    <mergeCell ref="G9:G10"/>
    <mergeCell ref="G14:G15"/>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80075-0034-4893-A770-007D00DE0006}"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 xr:uid="{0041000B-0027-49C3-9E62-00E100AB004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92"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9" width="10.00390625"/>
    <col hidden="1" min="13" max="13" style="50" width="10.57421875"/>
  </cols>
  <sheetData>
    <row r="1" ht="22.5" hidden="1" customHeight="1">
      <c r="M1" s="50" t="s">
        <v>14</v>
      </c>
    </row>
    <row r="2" s="50" customFormat="1" ht="18.75" hidden="1" customHeight="1">
      <c r="A2" s="64"/>
      <c r="B2" s="53"/>
      <c r="C2" s="878" t="s">
        <v>496</v>
      </c>
      <c r="D2" s="359"/>
      <c r="E2" s="94"/>
      <c r="F2" s="246"/>
      <c r="G2" s="246" t="s">
        <v>308</v>
      </c>
      <c r="H2" s="484"/>
      <c r="K2" s="129"/>
      <c r="L2" s="129"/>
      <c r="M2" s="50">
        <v>0</v>
      </c>
    </row>
    <row r="3" s="50" customFormat="1" ht="14.25" hidden="1" customHeight="1">
      <c r="A3" s="61"/>
      <c r="B3" s="53"/>
      <c r="C3" s="492"/>
      <c r="K3" s="129"/>
      <c r="L3" s="129"/>
      <c r="M3" s="50">
        <v>0</v>
      </c>
    </row>
    <row r="4" s="50" customFormat="1" ht="18.75" hidden="1" customHeight="1">
      <c r="A4" s="64"/>
      <c r="B4" s="53"/>
      <c r="C4" s="878" t="s">
        <v>496</v>
      </c>
      <c r="D4" s="359"/>
      <c r="E4" s="943" t="s">
        <v>1128</v>
      </c>
      <c r="F4" s="246"/>
      <c r="G4" s="1024"/>
      <c r="H4" s="246" t="s">
        <v>308</v>
      </c>
      <c r="K4" s="129"/>
      <c r="L4" s="129"/>
      <c r="M4" s="50">
        <v>0</v>
      </c>
    </row>
    <row r="5" s="50" customFormat="1" ht="14.25" hidden="1" customHeight="1">
      <c r="A5" s="61"/>
      <c r="B5" s="53"/>
      <c r="C5" s="492"/>
      <c r="K5" s="129"/>
      <c r="L5" s="129"/>
      <c r="M5" s="50">
        <v>0</v>
      </c>
    </row>
    <row r="6" s="50" customFormat="1" ht="18.75" hidden="1" customHeight="1">
      <c r="A6" s="64"/>
      <c r="B6" s="53"/>
      <c r="C6" s="878" t="s">
        <v>496</v>
      </c>
      <c r="D6" s="359"/>
      <c r="E6" s="1025" t="s">
        <v>1129</v>
      </c>
      <c r="F6" s="246"/>
      <c r="G6" s="1024"/>
      <c r="H6" s="246" t="s">
        <v>308</v>
      </c>
      <c r="K6" s="129"/>
      <c r="L6" s="129"/>
      <c r="M6" s="50">
        <v>0</v>
      </c>
    </row>
    <row r="7" s="50" customFormat="1" ht="14.25" hidden="1" customHeight="1">
      <c r="A7" s="61"/>
      <c r="B7" s="53"/>
      <c r="C7" s="492"/>
      <c r="K7" s="129"/>
      <c r="L7" s="129"/>
      <c r="M7" s="50">
        <v>0</v>
      </c>
    </row>
    <row r="8" s="50" customFormat="1" ht="18.75" hidden="1" customHeight="1">
      <c r="A8" s="64"/>
      <c r="B8" s="53"/>
      <c r="C8" s="878" t="s">
        <v>496</v>
      </c>
      <c r="D8" s="359"/>
      <c r="E8" s="1025" t="s">
        <v>1130</v>
      </c>
      <c r="F8" s="246"/>
      <c r="G8" s="1024"/>
      <c r="H8" s="246" t="s">
        <v>308</v>
      </c>
      <c r="K8" s="129"/>
      <c r="L8" s="129"/>
      <c r="M8" s="50">
        <v>0</v>
      </c>
    </row>
    <row r="9" s="50" customFormat="1" ht="14.25" hidden="1" customHeight="1">
      <c r="A9" s="61"/>
      <c r="B9" s="53"/>
      <c r="C9" s="492"/>
      <c r="K9" s="129"/>
      <c r="L9" s="129"/>
      <c r="M9" s="50">
        <v>0</v>
      </c>
    </row>
    <row r="10" s="50" customFormat="1" ht="18.75" hidden="1" customHeight="1">
      <c r="A10" s="64"/>
      <c r="B10" s="53"/>
      <c r="C10" s="878" t="s">
        <v>496</v>
      </c>
      <c r="D10" s="359"/>
      <c r="E10" s="1025" t="s">
        <v>1131</v>
      </c>
      <c r="F10" s="246"/>
      <c r="G10" s="402"/>
      <c r="H10" s="246" t="s">
        <v>308</v>
      </c>
      <c r="K10" s="129"/>
      <c r="L10" s="129" t="s">
        <v>1132</v>
      </c>
      <c r="M10" s="50">
        <v>0</v>
      </c>
    </row>
    <row r="11" ht="14.25" hidden="1" customHeight="1">
      <c r="M11" s="50">
        <v>0</v>
      </c>
    </row>
    <row r="12" ht="14.25" hidden="1" customHeight="1">
      <c r="M12" s="50">
        <v>0</v>
      </c>
    </row>
    <row r="13" ht="14.65" customHeight="1">
      <c r="C13" s="553"/>
      <c r="D13" s="91"/>
      <c r="E13" s="91"/>
      <c r="F13" s="91"/>
      <c r="G13" s="91"/>
      <c r="H13" s="880"/>
      <c r="I13" s="880"/>
      <c r="M13" s="50">
        <v>14</v>
      </c>
    </row>
    <row r="14" ht="29.25" customHeight="1">
      <c r="C14" s="553"/>
      <c r="D14" s="236"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37"/>
      <c r="F14" s="237"/>
      <c r="G14" s="237"/>
      <c r="H14" s="238"/>
      <c r="J14" s="50"/>
      <c r="M14" s="50">
        <v>28</v>
      </c>
    </row>
    <row r="15" s="50" customFormat="1" ht="14.65" customHeight="1">
      <c r="A15" s="61"/>
      <c r="B15" s="53"/>
      <c r="C15" s="553"/>
      <c r="D15" s="422" t="str">
        <f>IF(org=0,"Не определено",org)</f>
        <v xml:space="preserve">филиал Пермская ГРЭС АО "Интер РАО - Электрогенерация"</v>
      </c>
      <c r="E15" s="423"/>
      <c r="F15" s="423"/>
      <c r="G15" s="423"/>
      <c r="H15" s="424"/>
      <c r="J15" s="376"/>
      <c r="K15" s="129"/>
      <c r="L15" s="129"/>
      <c r="M15" s="50">
        <v>14</v>
      </c>
    </row>
    <row r="16" ht="14.65" customHeight="1">
      <c r="C16" s="553"/>
      <c r="D16" s="91"/>
      <c r="E16" s="83"/>
      <c r="F16" s="83"/>
      <c r="G16" s="83"/>
      <c r="H16" s="356"/>
      <c r="I16" s="881"/>
      <c r="M16" s="50">
        <v>14</v>
      </c>
    </row>
    <row r="17" s="50" customFormat="1" ht="14.25" hidden="1" customHeight="1">
      <c r="A17" s="61"/>
      <c r="B17" s="53"/>
      <c r="C17" s="553"/>
      <c r="D17" s="91"/>
      <c r="E17" s="83"/>
      <c r="F17" s="83"/>
      <c r="G17" s="83"/>
      <c r="H17" s="356"/>
      <c r="I17" s="881"/>
      <c r="K17" s="129"/>
      <c r="L17" s="129"/>
      <c r="M17" s="50">
        <v>0</v>
      </c>
    </row>
    <row r="18" ht="22" customHeight="1">
      <c r="C18" s="553"/>
      <c r="D18" s="362" t="s">
        <v>302</v>
      </c>
      <c r="E18" s="362"/>
      <c r="F18" s="362"/>
      <c r="G18" s="362"/>
      <c r="H18" s="362"/>
      <c r="I18" s="885" t="s">
        <v>303</v>
      </c>
      <c r="M18" s="50">
        <v>21</v>
      </c>
    </row>
    <row r="19" ht="22" customHeight="1">
      <c r="C19" s="553"/>
      <c r="D19" s="362" t="s">
        <v>88</v>
      </c>
      <c r="E19" s="246" t="s">
        <v>304</v>
      </c>
      <c r="F19" s="246"/>
      <c r="G19" s="246" t="s">
        <v>305</v>
      </c>
      <c r="H19" s="246" t="s">
        <v>392</v>
      </c>
      <c r="I19" s="885"/>
      <c r="M19" s="50">
        <v>21</v>
      </c>
    </row>
    <row r="20" ht="12" hidden="1" customHeight="1">
      <c r="C20" s="553"/>
      <c r="D20" s="439"/>
      <c r="E20" s="439"/>
      <c r="F20" s="439"/>
      <c r="G20" s="439"/>
      <c r="H20" s="439"/>
      <c r="I20" s="439"/>
      <c r="M20" s="50">
        <v>0</v>
      </c>
    </row>
    <row r="21" ht="14.65" customHeight="1">
      <c r="A21" s="64"/>
      <c r="C21" s="553"/>
      <c r="D21" s="359">
        <v>1</v>
      </c>
      <c r="E21" s="887" t="s">
        <v>1133</v>
      </c>
      <c r="F21" s="887"/>
      <c r="G21" s="887"/>
      <c r="H21" s="887"/>
      <c r="I21" s="879"/>
      <c r="M21" s="50">
        <v>14</v>
      </c>
    </row>
    <row r="22" ht="21" customHeight="1">
      <c r="A22" s="64"/>
      <c r="C22" s="553"/>
      <c r="D22" s="359" t="s">
        <v>1023</v>
      </c>
      <c r="E22" s="943" t="s">
        <v>1134</v>
      </c>
      <c r="F22" s="246"/>
      <c r="G22" s="1026"/>
      <c r="H22" s="246" t="s">
        <v>308</v>
      </c>
      <c r="I22" s="499" t="s">
        <v>1135</v>
      </c>
      <c r="M22" s="50">
        <v>20</v>
      </c>
    </row>
    <row r="23" ht="60" customHeight="1">
      <c r="A23" s="64"/>
      <c r="C23" s="553"/>
      <c r="D23" s="359" t="s">
        <v>1025</v>
      </c>
      <c r="E23" s="943" t="s">
        <v>1136</v>
      </c>
      <c r="F23" s="246"/>
      <c r="G23" s="1024"/>
      <c r="H23" s="484"/>
      <c r="I23" s="255" t="s">
        <v>1137</v>
      </c>
      <c r="M23" s="50">
        <v>57</v>
      </c>
    </row>
    <row r="24" ht="14.65" customHeight="1">
      <c r="A24" s="64"/>
      <c r="B24" s="53">
        <v>3</v>
      </c>
      <c r="C24" s="553"/>
      <c r="D24" s="359">
        <v>2</v>
      </c>
      <c r="E24" s="887"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холодного водоснабжения</v>
      </c>
      <c r="F24" s="246"/>
      <c r="G24" s="246" t="s">
        <v>308</v>
      </c>
      <c r="H24" s="484"/>
      <c r="I24" s="330" t="s">
        <v>633</v>
      </c>
      <c r="M24" s="50">
        <v>14</v>
      </c>
    </row>
    <row r="25" ht="48.25" customHeight="1">
      <c r="A25" s="64"/>
      <c r="C25" s="553"/>
      <c r="D25" s="359">
        <v>3</v>
      </c>
      <c r="E25" s="8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887"/>
      <c r="G25" s="887"/>
      <c r="H25" s="887"/>
      <c r="I25" s="879"/>
      <c r="M25" s="50">
        <v>46</v>
      </c>
    </row>
    <row r="26" ht="14.65" customHeight="1">
      <c r="A26" s="64"/>
      <c r="C26" s="553"/>
      <c r="D26" s="359" t="s">
        <v>326</v>
      </c>
      <c r="E26" s="94"/>
      <c r="F26" s="246"/>
      <c r="G26" s="246" t="s">
        <v>308</v>
      </c>
      <c r="H26" s="484"/>
      <c r="I26" s="285" t="s">
        <v>1138</v>
      </c>
      <c r="M26" s="50">
        <v>14</v>
      </c>
    </row>
    <row r="27" ht="15.75" customHeight="1">
      <c r="A27" s="64" t="s">
        <v>109</v>
      </c>
      <c r="C27" s="553"/>
      <c r="D27" s="888"/>
      <c r="E27" s="172" t="s">
        <v>324</v>
      </c>
      <c r="F27" s="235"/>
      <c r="G27" s="235"/>
      <c r="H27" s="889"/>
      <c r="I27" s="289"/>
      <c r="M27" s="50">
        <v>15</v>
      </c>
    </row>
    <row r="28" ht="39.75" customHeight="1">
      <c r="A28" s="64"/>
      <c r="B28" s="53">
        <v>3</v>
      </c>
      <c r="C28" s="553"/>
      <c r="D28" s="359">
        <v>4</v>
      </c>
      <c r="E28" s="8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887"/>
      <c r="G28" s="887"/>
      <c r="H28" s="887"/>
      <c r="I28" s="879"/>
      <c r="M28" s="50">
        <v>38</v>
      </c>
    </row>
    <row r="29" ht="21" customHeight="1">
      <c r="A29" s="64"/>
      <c r="C29" s="553"/>
      <c r="D29" s="359" t="s">
        <v>755</v>
      </c>
      <c r="E29" s="943" t="s">
        <v>1128</v>
      </c>
      <c r="F29" s="246"/>
      <c r="G29" s="1024"/>
      <c r="H29" s="246" t="s">
        <v>308</v>
      </c>
      <c r="I29" s="285" t="s">
        <v>1139</v>
      </c>
      <c r="M29" s="50">
        <v>20</v>
      </c>
    </row>
    <row r="30" ht="15.75" customHeight="1">
      <c r="A30" s="64" t="s">
        <v>110</v>
      </c>
      <c r="C30" s="553"/>
      <c r="D30" s="888"/>
      <c r="E30" s="172" t="s">
        <v>324</v>
      </c>
      <c r="F30" s="235"/>
      <c r="G30" s="235"/>
      <c r="H30" s="889"/>
      <c r="I30" s="289"/>
      <c r="M30" s="50">
        <v>15</v>
      </c>
    </row>
    <row r="31" ht="31.5" customHeight="1">
      <c r="A31" s="64"/>
      <c r="B31" s="53">
        <v>3</v>
      </c>
      <c r="C31" s="553"/>
      <c r="D31" s="359">
        <v>5</v>
      </c>
      <c r="E31" s="8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887"/>
      <c r="G31" s="887"/>
      <c r="H31" s="887"/>
      <c r="I31" s="879"/>
      <c r="M31" s="50">
        <v>30</v>
      </c>
    </row>
    <row r="32" ht="27.300000000000001" customHeight="1">
      <c r="A32" s="64"/>
      <c r="C32" s="553"/>
      <c r="D32" s="359" t="s">
        <v>315</v>
      </c>
      <c r="E32" s="94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943"/>
      <c r="G32" s="943"/>
      <c r="H32" s="943"/>
      <c r="I32" s="879"/>
      <c r="M32" s="50">
        <v>26</v>
      </c>
    </row>
    <row r="33" ht="14.65" customHeight="1">
      <c r="A33" s="64"/>
      <c r="C33" s="553"/>
      <c r="D33" s="359" t="s">
        <v>1140</v>
      </c>
      <c r="E33" s="1025" t="s">
        <v>1129</v>
      </c>
      <c r="F33" s="246"/>
      <c r="G33" s="1024"/>
      <c r="H33" s="246" t="s">
        <v>308</v>
      </c>
      <c r="I33" s="285" t="s">
        <v>1141</v>
      </c>
      <c r="M33" s="50">
        <v>14</v>
      </c>
    </row>
    <row r="34" ht="15.75" customHeight="1">
      <c r="A34" s="64" t="s">
        <v>90</v>
      </c>
      <c r="C34" s="553"/>
      <c r="D34" s="888"/>
      <c r="E34" s="235" t="s">
        <v>324</v>
      </c>
      <c r="F34" s="700"/>
      <c r="G34" s="700"/>
      <c r="H34" s="889"/>
      <c r="I34" s="289"/>
      <c r="M34" s="50">
        <v>15</v>
      </c>
    </row>
    <row r="35" ht="25.199999999999999" customHeight="1">
      <c r="A35" s="64"/>
      <c r="C35" s="553"/>
      <c r="D35" s="359" t="s">
        <v>883</v>
      </c>
      <c r="E35" s="94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943"/>
      <c r="G35" s="943"/>
      <c r="H35" s="943"/>
      <c r="I35" s="879"/>
      <c r="M35" s="50">
        <v>24</v>
      </c>
    </row>
    <row r="36" ht="14.65" customHeight="1">
      <c r="A36" s="64"/>
      <c r="C36" s="553"/>
      <c r="D36" s="359" t="s">
        <v>1142</v>
      </c>
      <c r="E36" s="1025" t="s">
        <v>1130</v>
      </c>
      <c r="F36" s="246"/>
      <c r="G36" s="1024"/>
      <c r="H36" s="246" t="s">
        <v>308</v>
      </c>
      <c r="I36" s="255" t="s">
        <v>1143</v>
      </c>
      <c r="M36" s="50">
        <v>14</v>
      </c>
    </row>
    <row r="37" ht="15.75" customHeight="1">
      <c r="A37" s="64" t="s">
        <v>91</v>
      </c>
      <c r="C37" s="553"/>
      <c r="D37" s="888"/>
      <c r="E37" s="235" t="s">
        <v>324</v>
      </c>
      <c r="F37" s="700"/>
      <c r="G37" s="700"/>
      <c r="H37" s="889"/>
      <c r="I37" s="255"/>
      <c r="M37" s="50">
        <v>15</v>
      </c>
    </row>
    <row r="38" ht="27.300000000000001" customHeight="1">
      <c r="A38" s="64"/>
      <c r="C38" s="553"/>
      <c r="D38" s="359" t="s">
        <v>884</v>
      </c>
      <c r="E38" s="94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943"/>
      <c r="G38" s="943"/>
      <c r="H38" s="943"/>
      <c r="I38" s="879"/>
      <c r="M38" s="50">
        <v>26</v>
      </c>
    </row>
    <row r="39" ht="14.65" customHeight="1">
      <c r="A39" s="64"/>
      <c r="C39" s="553"/>
      <c r="D39" s="359" t="s">
        <v>885</v>
      </c>
      <c r="E39" s="1025" t="s">
        <v>1131</v>
      </c>
      <c r="F39" s="246"/>
      <c r="G39" s="402"/>
      <c r="H39" s="246" t="s">
        <v>308</v>
      </c>
      <c r="I39" s="285" t="s">
        <v>1144</v>
      </c>
      <c r="L39" s="129" t="s">
        <v>1132</v>
      </c>
      <c r="M39" s="50">
        <v>14</v>
      </c>
    </row>
    <row r="40" ht="15.75" customHeight="1">
      <c r="A40" s="64" t="s">
        <v>111</v>
      </c>
      <c r="C40" s="553"/>
      <c r="D40" s="888"/>
      <c r="E40" s="235" t="s">
        <v>324</v>
      </c>
      <c r="F40" s="700"/>
      <c r="G40" s="700"/>
      <c r="H40" s="889"/>
      <c r="I40" s="289"/>
      <c r="M40" s="50">
        <v>15</v>
      </c>
    </row>
    <row r="41" s="143" customFormat="1" ht="3" customHeight="1">
      <c r="A41" s="64"/>
      <c r="K41" s="167"/>
      <c r="L41" s="167"/>
      <c r="M41" s="143">
        <v>3</v>
      </c>
    </row>
    <row r="42" ht="26.25" customHeight="1">
      <c r="D42" s="490" t="s">
        <v>805</v>
      </c>
      <c r="E42" s="588"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588"/>
      <c r="G42" s="588"/>
      <c r="H42" s="588"/>
      <c r="I42" s="588"/>
      <c r="M42" s="50">
        <v>25</v>
      </c>
    </row>
    <row r="43" ht="22.5" hidden="1" customHeight="1">
      <c r="A43" s="61" t="s">
        <v>82</v>
      </c>
      <c r="B43" s="53">
        <v>0</v>
      </c>
      <c r="C43" s="492">
        <v>3</v>
      </c>
      <c r="D43" s="50">
        <v>6</v>
      </c>
      <c r="E43" s="50">
        <v>63</v>
      </c>
      <c r="F43" s="50">
        <v>0</v>
      </c>
      <c r="G43" s="50">
        <v>35</v>
      </c>
      <c r="H43" s="50">
        <v>35</v>
      </c>
      <c r="I43" s="50">
        <v>91</v>
      </c>
      <c r="J43" s="50">
        <v>68</v>
      </c>
      <c r="K43" s="129">
        <v>10</v>
      </c>
      <c r="L43" s="129">
        <v>10</v>
      </c>
      <c r="M43" s="50">
        <v>23</v>
      </c>
    </row>
  </sheetData>
  <sheetProtection autoFilter="0" deleteColumns="0" deleteRows="0" formatCells="1" formatColumns="0" formatRows="0" insertColumns="1" insertHyperlinks="1" insertRows="0" pivotTables="1" selectLockedCells="0" selectUnlockedCells="0" sheet="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2700C7-004B-4C1E-A63E-002E0071002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940045-0012-458D-8C13-006100AB00E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3C00AC-00D8-4BF7-8A88-006300C300F1}"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K120" activeCellId="0" sqref="K120"/>
    </sheetView>
  </sheetViews>
  <sheetFormatPr defaultColWidth="10.57421875" defaultRowHeight="14.25" customHeight="1"/>
  <cols>
    <col customWidth="1" hidden="1" min="1" max="2" style="11" width="25.140625"/>
    <col customWidth="1" hidden="1" min="3" max="3" style="409" width="9.140625"/>
    <col customWidth="1" min="4" max="4" style="492" width="3.00390625"/>
    <col customWidth="1" min="5" max="5" style="50" width="6.00390625"/>
    <col customWidth="1" min="6" max="6" style="50" width="46.7109375"/>
    <col customWidth="1" min="7" max="7" style="50" width="35.00390625"/>
    <col customWidth="1" min="8" max="8" style="50" width="3.00390625"/>
    <col customWidth="1" min="9" max="9" style="50" width="15.28125"/>
    <col customWidth="1" min="10" max="10" style="50" width="14.8515625"/>
    <col customWidth="1" min="11" max="12" style="50" width="35.00390625"/>
    <col customWidth="1" min="13" max="13" style="50" width="84.00390625"/>
    <col customWidth="1" min="14" max="14" style="50" width="10.00390625"/>
    <col customWidth="1" min="15" max="16" style="129" width="10.00390625"/>
    <col customWidth="1" min="17" max="33" style="50" width="10.00390625"/>
    <col hidden="1" min="34" max="34" style="50" width="10.57421875"/>
  </cols>
  <sheetData>
    <row r="1" s="50" customFormat="1" ht="22.5" hidden="1" customHeight="1">
      <c r="A1" s="11"/>
      <c r="B1" s="11"/>
      <c r="C1" s="409"/>
      <c r="D1" s="492"/>
      <c r="N1" s="57">
        <f>_xlfn.IFERROR(MATCH("метод экономически обоснованных расходов (затрат)",OFFER_METHOD,0),0)</f>
        <v>0</v>
      </c>
      <c r="O1" s="129"/>
      <c r="P1" s="129"/>
      <c r="T1" s="120"/>
      <c r="AG1" s="877"/>
      <c r="AH1" s="50" t="s">
        <v>14</v>
      </c>
    </row>
    <row r="2" s="50" customFormat="1" ht="18.75" hidden="1" customHeight="1">
      <c r="A2" s="143" t="s">
        <v>154</v>
      </c>
      <c r="B2" s="143" t="s">
        <v>155</v>
      </c>
      <c r="C2" s="409"/>
      <c r="D2" s="492"/>
      <c r="E2" s="569"/>
      <c r="F2" s="569"/>
      <c r="G2" s="961" t="str">
        <f>INDEX(PT_DIFFERENTIATION_NTAR,MATCH(B2,PT_DIFFERENTIATION_NTAR_ID,0))</f>
        <v/>
      </c>
      <c r="H2" s="431"/>
      <c r="I2" s="1027"/>
      <c r="J2" s="1028"/>
      <c r="K2" s="621"/>
      <c r="L2" s="431" t="s">
        <v>308</v>
      </c>
      <c r="M2" s="642"/>
      <c r="N2" s="838"/>
      <c r="O2" s="129"/>
      <c r="P2" s="129"/>
      <c r="AH2" s="50">
        <v>0</v>
      </c>
    </row>
    <row r="3" s="50" customFormat="1" ht="18.75" hidden="1" customHeight="1">
      <c r="A3" s="143"/>
      <c r="B3" s="143"/>
      <c r="C3" s="409" t="s">
        <v>1145</v>
      </c>
      <c r="D3" s="492"/>
      <c r="E3" s="569"/>
      <c r="F3" s="569"/>
      <c r="G3" s="961"/>
      <c r="H3" s="758"/>
      <c r="I3" s="177" t="s">
        <v>1146</v>
      </c>
      <c r="J3" s="235"/>
      <c r="K3" s="758"/>
      <c r="L3" s="889"/>
      <c r="M3" s="642"/>
      <c r="N3" s="838"/>
      <c r="O3" s="129"/>
      <c r="P3" s="129"/>
      <c r="AH3" s="50">
        <v>0</v>
      </c>
    </row>
    <row r="4" s="50" customFormat="1" ht="14.25" hidden="1" customHeight="1">
      <c r="A4" s="11"/>
      <c r="B4" s="11"/>
      <c r="C4" s="409"/>
      <c r="D4" s="492"/>
      <c r="N4" s="57">
        <f>_xlfn.IFERROR(MATCH("метод экономически обоснованных расходов (затрат)",OFFER_METHOD,0),0)</f>
        <v>0</v>
      </c>
      <c r="O4" s="129"/>
      <c r="P4" s="129"/>
      <c r="T4" s="120"/>
      <c r="AG4" s="877"/>
      <c r="AH4" s="50">
        <v>0</v>
      </c>
    </row>
    <row r="5" s="50" customFormat="1" ht="18.75" hidden="1" customHeight="1">
      <c r="A5" s="143" t="s">
        <v>154</v>
      </c>
      <c r="B5" s="143" t="s">
        <v>155</v>
      </c>
      <c r="C5" s="409"/>
      <c r="D5" s="492"/>
      <c r="E5" s="569"/>
      <c r="F5" s="569"/>
      <c r="G5" s="961" t="str">
        <f>INDEX(PT_DIFFERENTIATION_NTAR,MATCH(B5,PT_DIFFERENTIATION_NTAR_ID,0))</f>
        <v/>
      </c>
      <c r="H5" s="431"/>
      <c r="I5" s="1027"/>
      <c r="J5" s="1028"/>
      <c r="K5" s="447"/>
      <c r="L5" s="431" t="s">
        <v>308</v>
      </c>
      <c r="M5" s="642"/>
      <c r="N5" s="838"/>
      <c r="O5" s="129"/>
      <c r="P5" s="129"/>
      <c r="AH5" s="50">
        <v>0</v>
      </c>
    </row>
    <row r="6" s="50" customFormat="1" ht="18.75" hidden="1" customHeight="1">
      <c r="A6" s="143"/>
      <c r="B6" s="143"/>
      <c r="C6" s="409" t="s">
        <v>1147</v>
      </c>
      <c r="D6" s="492"/>
      <c r="E6" s="569"/>
      <c r="F6" s="569"/>
      <c r="G6" s="961"/>
      <c r="H6" s="758"/>
      <c r="I6" s="177" t="s">
        <v>1146</v>
      </c>
      <c r="J6" s="235"/>
      <c r="K6" s="758"/>
      <c r="L6" s="889"/>
      <c r="M6" s="642"/>
      <c r="N6" s="838"/>
      <c r="O6" s="129"/>
      <c r="P6" s="129"/>
      <c r="AH6" s="50">
        <v>0</v>
      </c>
    </row>
    <row r="7" s="50" customFormat="1" ht="14.25" hidden="1" customHeight="1">
      <c r="A7" s="11"/>
      <c r="B7" s="11"/>
      <c r="C7" s="409"/>
      <c r="D7" s="492"/>
      <c r="N7" s="57">
        <f>_xlfn.IFERROR(MATCH("метод экономически обоснованных расходов (затрат)",OFFER_METHOD,0),0)</f>
        <v>0</v>
      </c>
      <c r="O7" s="129"/>
      <c r="P7" s="129"/>
      <c r="T7" s="120"/>
      <c r="AG7" s="877"/>
      <c r="AH7" s="50">
        <v>0</v>
      </c>
    </row>
    <row r="8" s="50" customFormat="1" ht="56.25" hidden="1" customHeight="1">
      <c r="A8" s="143"/>
      <c r="B8" s="143"/>
      <c r="C8" s="409"/>
      <c r="D8" s="492"/>
      <c r="E8" s="569"/>
      <c r="F8" s="569"/>
      <c r="G8" s="569"/>
      <c r="H8" s="431"/>
      <c r="I8" s="1027"/>
      <c r="J8" s="1028"/>
      <c r="K8" s="621"/>
      <c r="L8" s="431" t="s">
        <v>308</v>
      </c>
      <c r="M8" s="642"/>
      <c r="N8" s="838"/>
      <c r="O8" s="129"/>
      <c r="P8" s="129"/>
      <c r="AH8" s="50">
        <v>0</v>
      </c>
    </row>
    <row r="9" ht="14.25" hidden="1" customHeight="1">
      <c r="T9" s="120"/>
      <c r="AG9" s="877"/>
      <c r="AH9" s="50">
        <v>0</v>
      </c>
    </row>
    <row r="10" s="50" customFormat="1" ht="56.25" hidden="1" customHeight="1">
      <c r="A10" s="143"/>
      <c r="B10" s="143"/>
      <c r="C10" s="409"/>
      <c r="D10" s="492"/>
      <c r="E10" s="569"/>
      <c r="F10" s="569"/>
      <c r="G10" s="569"/>
      <c r="H10" s="246"/>
      <c r="I10" s="1027"/>
      <c r="J10" s="1028"/>
      <c r="K10" s="447"/>
      <c r="L10" s="431" t="s">
        <v>308</v>
      </c>
      <c r="M10" s="642"/>
      <c r="N10" s="838"/>
      <c r="O10" s="129"/>
      <c r="P10" s="129"/>
      <c r="AH10" s="50">
        <v>0</v>
      </c>
    </row>
    <row r="11" ht="14.25" hidden="1" customHeight="1">
      <c r="AH11" s="50">
        <v>0</v>
      </c>
    </row>
    <row r="12" ht="14.25" hidden="1" customHeight="1">
      <c r="AH12" s="50">
        <v>0</v>
      </c>
    </row>
    <row r="13" ht="6.2999999999999998" customHeight="1">
      <c r="D13" s="553"/>
      <c r="E13" s="91"/>
      <c r="F13" s="91"/>
      <c r="G13" s="91"/>
      <c r="H13" s="91"/>
      <c r="I13" s="91"/>
      <c r="J13" s="91"/>
      <c r="K13" s="91"/>
      <c r="L13" s="880"/>
      <c r="M13" s="880"/>
      <c r="AH13" s="50">
        <v>6</v>
      </c>
    </row>
    <row r="14" ht="14.65" customHeight="1">
      <c r="D14" s="553"/>
      <c r="E14" s="10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029"/>
      <c r="G14" s="1029"/>
      <c r="H14" s="1029"/>
      <c r="I14" s="1029"/>
      <c r="J14" s="1029"/>
      <c r="K14" s="1029"/>
      <c r="L14" s="1029"/>
      <c r="M14" s="240"/>
      <c r="AH14" s="50">
        <v>14</v>
      </c>
    </row>
    <row r="15" ht="6.2999999999999998" customHeight="1">
      <c r="D15" s="553"/>
      <c r="E15" s="91"/>
      <c r="F15" s="83"/>
      <c r="G15" s="83"/>
      <c r="H15" s="83"/>
      <c r="I15" s="83"/>
      <c r="J15" s="83"/>
      <c r="K15" s="83"/>
      <c r="L15" s="555"/>
      <c r="M15" s="881"/>
      <c r="AH15" s="50">
        <v>6</v>
      </c>
    </row>
    <row r="16" ht="24" customHeight="1">
      <c r="D16" s="553"/>
      <c r="E16" s="91"/>
      <c r="F16" s="1030" t="str">
        <f>"Дата подачи заявления об "&amp;IF(TITLE_DATE_PR_CHANGE="","утверждении","изменении")&amp;" тарифов"</f>
        <v xml:space="preserve">Дата подачи заявления об изменении тарифов</v>
      </c>
      <c r="G16" s="560" t="str">
        <f>IF(TITLE_DATE_PR_CHANGE="",IF(TITLE_DATE_PR="","",TITLE_DATE_PR),TITLE_DATE_PR_CHANGE)</f>
        <v>45406</v>
      </c>
      <c r="H16" s="560"/>
      <c r="I16" s="560"/>
      <c r="J16" s="560"/>
      <c r="K16" s="560"/>
      <c r="L16" s="560"/>
      <c r="M16" s="838"/>
      <c r="N16" s="50"/>
      <c r="AH16" s="50">
        <v>23</v>
      </c>
    </row>
    <row r="17" ht="24" customHeight="1">
      <c r="D17" s="553"/>
      <c r="E17" s="91"/>
      <c r="F17" s="1030" t="str">
        <f>"Номер подачи заявления об "&amp;IF(TITLE_DATE_PR_CHANGE="","утверждении","изменении")&amp;" тарифов"</f>
        <v xml:space="preserve">Номер подачи заявления об изменении тарифов</v>
      </c>
      <c r="G17" s="558" t="str">
        <f>IF(TITLE_NUMBER_PR_CHANGE="",IF(TITLE_NUMBER_PR="","",TITLE_NUMBER_PR),TITLE_NUMBER_PR_CHANGE)</f>
        <v>ПГ/01/950</v>
      </c>
      <c r="H17" s="558"/>
      <c r="I17" s="558"/>
      <c r="J17" s="558"/>
      <c r="K17" s="558"/>
      <c r="L17" s="558"/>
      <c r="M17" s="838"/>
      <c r="N17" s="50"/>
      <c r="AH17" s="50">
        <v>23</v>
      </c>
    </row>
    <row r="18" ht="14.65" customHeight="1">
      <c r="D18" s="553"/>
      <c r="E18" s="91"/>
      <c r="F18" s="83"/>
      <c r="G18" s="83"/>
      <c r="H18" s="83"/>
      <c r="I18" s="83"/>
      <c r="J18" s="83"/>
      <c r="K18" s="83"/>
      <c r="L18" s="356"/>
      <c r="M18" s="881"/>
      <c r="AH18" s="50">
        <v>14</v>
      </c>
    </row>
    <row r="19" ht="22" customHeight="1">
      <c r="D19" s="553"/>
      <c r="E19" s="362" t="s">
        <v>302</v>
      </c>
      <c r="F19" s="362"/>
      <c r="G19" s="362"/>
      <c r="H19" s="362"/>
      <c r="I19" s="362"/>
      <c r="J19" s="362"/>
      <c r="K19" s="362"/>
      <c r="L19" s="362"/>
      <c r="M19" s="885" t="s">
        <v>303</v>
      </c>
      <c r="AH19" s="50">
        <v>21</v>
      </c>
    </row>
    <row r="20" ht="22" customHeight="1">
      <c r="D20" s="553"/>
      <c r="E20" s="567" t="s">
        <v>88</v>
      </c>
      <c r="F20" s="432" t="s">
        <v>122</v>
      </c>
      <c r="G20" s="432" t="s">
        <v>123</v>
      </c>
      <c r="H20" s="882" t="s">
        <v>1148</v>
      </c>
      <c r="I20" s="883"/>
      <c r="J20" s="998"/>
      <c r="K20" s="432" t="s">
        <v>305</v>
      </c>
      <c r="L20" s="432" t="s">
        <v>392</v>
      </c>
      <c r="M20" s="885"/>
      <c r="AH20" s="50">
        <v>21</v>
      </c>
    </row>
    <row r="21" ht="22" customHeight="1">
      <c r="D21" s="553"/>
      <c r="E21" s="575"/>
      <c r="F21" s="435"/>
      <c r="G21" s="435"/>
      <c r="H21" s="429" t="s">
        <v>1149</v>
      </c>
      <c r="I21" s="431"/>
      <c r="J21" s="246" t="s">
        <v>1150</v>
      </c>
      <c r="K21" s="435"/>
      <c r="L21" s="435"/>
      <c r="M21" s="885"/>
      <c r="AH21" s="50">
        <v>21</v>
      </c>
    </row>
    <row r="22" ht="12.75" customHeight="1">
      <c r="D22" s="553"/>
      <c r="E22" s="439"/>
      <c r="F22" s="439"/>
      <c r="G22" s="439"/>
      <c r="H22" s="1031"/>
      <c r="I22" s="1031"/>
      <c r="J22" s="439"/>
      <c r="K22" s="439"/>
      <c r="L22" s="439"/>
      <c r="M22" s="439"/>
      <c r="AH22" s="50">
        <v>12</v>
      </c>
    </row>
    <row r="23" ht="19.949999999999999" customHeight="1">
      <c r="A23" s="143"/>
      <c r="B23" s="143"/>
      <c r="D23" s="553"/>
      <c r="E23" s="1032" t="s">
        <v>109</v>
      </c>
      <c r="F23" s="1033" t="str">
        <f>"Предлагаемый метод регулирования"&amp;IF(TEMPLATE_SPHERE="HEAT"," в сфере "&amp;TEMPLATE_SPHERE_RUS,"")</f>
        <v xml:space="preserve">Предлагаемый метод регулирования</v>
      </c>
      <c r="G23" s="1033"/>
      <c r="H23" s="887"/>
      <c r="I23" s="887"/>
      <c r="J23" s="887"/>
      <c r="K23" s="1033" t="s">
        <v>308</v>
      </c>
      <c r="L23" s="887"/>
      <c r="M23" s="330"/>
      <c r="N23" s="838"/>
      <c r="AH23" s="50">
        <v>19</v>
      </c>
    </row>
    <row r="24" ht="60.75" hidden="1" customHeight="1">
      <c r="A24" s="143" t="s">
        <v>154</v>
      </c>
      <c r="B24" s="143" t="s">
        <v>155</v>
      </c>
      <c r="D24" s="1034"/>
      <c r="E24" s="359"/>
      <c r="F24" s="1035"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61" t="str">
        <f>INDEX(PT_DIFFERENTIATION_NTAR,MATCH(B24,PT_DIFFERENTIATION_NTAR_ID,0))</f>
        <v/>
      </c>
      <c r="H24" s="431"/>
      <c r="I24" s="1027"/>
      <c r="J24" s="1028"/>
      <c r="K24" s="621"/>
      <c r="L24" s="431" t="s">
        <v>308</v>
      </c>
      <c r="M24"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838"/>
      <c r="AH24" s="50">
        <v>0</v>
      </c>
    </row>
    <row r="25" s="50" customFormat="1" ht="18.75" hidden="1" customHeight="1">
      <c r="A25" s="143"/>
      <c r="B25" s="143"/>
      <c r="C25" s="409" t="s">
        <v>1145</v>
      </c>
      <c r="D25" s="1034"/>
      <c r="E25" s="359"/>
      <c r="F25" s="1035"/>
      <c r="G25" s="961"/>
      <c r="H25" s="758"/>
      <c r="I25" s="177" t="s">
        <v>1146</v>
      </c>
      <c r="J25" s="235"/>
      <c r="K25" s="758"/>
      <c r="L25" s="889"/>
      <c r="M25" s="287"/>
      <c r="N25" s="838"/>
      <c r="O25" s="129"/>
      <c r="P25" s="129"/>
      <c r="AH25" s="50">
        <v>0</v>
      </c>
    </row>
    <row r="26" ht="0.75" hidden="1" customHeight="1">
      <c r="A26" s="143"/>
      <c r="B26" s="143"/>
      <c r="C26" s="409" t="s">
        <v>1151</v>
      </c>
      <c r="D26" s="1034"/>
      <c r="E26" s="359"/>
      <c r="F26" s="79"/>
      <c r="G26" s="1036"/>
      <c r="H26" s="758"/>
      <c r="I26" s="177"/>
      <c r="J26" s="235"/>
      <c r="K26" s="758"/>
      <c r="L26" s="889"/>
      <c r="M26" s="287"/>
      <c r="N26" s="838"/>
      <c r="AH26" s="50">
        <v>0</v>
      </c>
    </row>
    <row r="27" s="50" customFormat="1" ht="45" hidden="1" customHeight="1">
      <c r="A27" s="143" t="s">
        <v>159</v>
      </c>
      <c r="B27" s="143" t="s">
        <v>160</v>
      </c>
      <c r="C27" s="409"/>
      <c r="D27" s="1037"/>
      <c r="E27" s="1038"/>
      <c r="F27" s="1039" t="str">
        <f>INDEX(PT_DIFFERENTIATION_VTAR,MATCH(A27,PT_DIFFERENTIATION_VTAR_ID,0))</f>
        <v/>
      </c>
      <c r="G27" s="961" t="str">
        <f>INDEX(PT_DIFFERENTIATION_NTAR,MATCH(B27,PT_DIFFERENTIATION_NTAR_ID,0))</f>
        <v/>
      </c>
      <c r="H27" s="431"/>
      <c r="I27" s="1027"/>
      <c r="J27" s="1028"/>
      <c r="K27" s="621"/>
      <c r="L27" s="431" t="s">
        <v>308</v>
      </c>
      <c r="M27" s="287"/>
      <c r="N27" s="838"/>
      <c r="O27" s="129"/>
      <c r="P27" s="129"/>
      <c r="AH27" s="50">
        <v>0</v>
      </c>
    </row>
    <row r="28" s="50" customFormat="1" ht="18.75" hidden="1" customHeight="1">
      <c r="A28" s="143"/>
      <c r="B28" s="143"/>
      <c r="C28" s="409" t="s">
        <v>1145</v>
      </c>
      <c r="D28" s="1037"/>
      <c r="E28" s="1038"/>
      <c r="F28" s="1039"/>
      <c r="G28" s="961"/>
      <c r="H28" s="758"/>
      <c r="I28" s="177" t="s">
        <v>1146</v>
      </c>
      <c r="J28" s="235"/>
      <c r="K28" s="758"/>
      <c r="L28" s="889"/>
      <c r="M28" s="287"/>
      <c r="N28" s="838"/>
      <c r="O28" s="129"/>
      <c r="P28" s="129"/>
      <c r="AH28" s="50">
        <v>0</v>
      </c>
    </row>
    <row r="29" s="50" customFormat="1" ht="0.75" hidden="1" customHeight="1">
      <c r="A29" s="143"/>
      <c r="B29" s="143"/>
      <c r="C29" s="409" t="s">
        <v>1151</v>
      </c>
      <c r="D29" s="1037"/>
      <c r="E29" s="359"/>
      <c r="F29" s="79"/>
      <c r="G29" s="1036"/>
      <c r="H29" s="758"/>
      <c r="I29" s="177"/>
      <c r="J29" s="235"/>
      <c r="K29" s="758"/>
      <c r="L29" s="889"/>
      <c r="M29" s="287"/>
      <c r="N29" s="838"/>
      <c r="O29" s="129"/>
      <c r="P29" s="129"/>
      <c r="AH29" s="50">
        <v>0</v>
      </c>
    </row>
    <row r="30" s="50" customFormat="1" ht="45" hidden="1" customHeight="1">
      <c r="A30" s="143" t="s">
        <v>166</v>
      </c>
      <c r="B30" s="143" t="s">
        <v>167</v>
      </c>
      <c r="C30" s="409"/>
      <c r="D30" s="1037"/>
      <c r="E30" s="359"/>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61" t="str">
        <f>INDEX(PT_DIFFERENTIATION_NTAR,MATCH(B30,PT_DIFFERENTIATION_NTAR_ID,0))</f>
        <v/>
      </c>
      <c r="H30" s="431"/>
      <c r="I30" s="1027"/>
      <c r="J30" s="1028"/>
      <c r="K30" s="621"/>
      <c r="L30" s="431" t="s">
        <v>308</v>
      </c>
      <c r="M30" s="287"/>
      <c r="N30" s="838"/>
      <c r="O30" s="129"/>
      <c r="P30" s="129"/>
      <c r="AH30" s="50">
        <v>0</v>
      </c>
    </row>
    <row r="31" s="50" customFormat="1" ht="18.75" hidden="1" customHeight="1">
      <c r="A31" s="143"/>
      <c r="B31" s="143"/>
      <c r="C31" s="409" t="s">
        <v>1145</v>
      </c>
      <c r="D31" s="1037"/>
      <c r="E31" s="359"/>
      <c r="F31" s="79"/>
      <c r="G31" s="961"/>
      <c r="H31" s="758"/>
      <c r="I31" s="177" t="s">
        <v>1146</v>
      </c>
      <c r="J31" s="235"/>
      <c r="K31" s="758"/>
      <c r="L31" s="889"/>
      <c r="M31" s="287"/>
      <c r="N31" s="838"/>
      <c r="O31" s="129"/>
      <c r="P31" s="129"/>
      <c r="AH31" s="50">
        <v>0</v>
      </c>
    </row>
    <row r="32" s="50" customFormat="1" ht="0.75" hidden="1" customHeight="1">
      <c r="A32" s="143"/>
      <c r="B32" s="143"/>
      <c r="C32" s="409" t="s">
        <v>1151</v>
      </c>
      <c r="D32" s="1037"/>
      <c r="E32" s="359"/>
      <c r="F32" s="79"/>
      <c r="G32" s="1036"/>
      <c r="H32" s="758"/>
      <c r="I32" s="177"/>
      <c r="J32" s="235"/>
      <c r="K32" s="758"/>
      <c r="L32" s="889"/>
      <c r="M32" s="287"/>
      <c r="N32" s="838"/>
      <c r="O32" s="129"/>
      <c r="P32" s="129"/>
      <c r="AH32" s="50">
        <v>0</v>
      </c>
    </row>
    <row r="33" s="50" customFormat="1" ht="45" hidden="1" customHeight="1">
      <c r="A33" s="143" t="s">
        <v>172</v>
      </c>
      <c r="B33" s="143" t="s">
        <v>173</v>
      </c>
      <c r="C33" s="409"/>
      <c r="D33" s="1037"/>
      <c r="E33" s="359"/>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61" t="str">
        <f>INDEX(PT_DIFFERENTIATION_NTAR,MATCH(B33,PT_DIFFERENTIATION_NTAR_ID,0))</f>
        <v/>
      </c>
      <c r="H33" s="431"/>
      <c r="I33" s="1027"/>
      <c r="J33" s="1028"/>
      <c r="K33" s="621"/>
      <c r="L33" s="431" t="s">
        <v>308</v>
      </c>
      <c r="M33" s="287"/>
      <c r="N33" s="838"/>
      <c r="O33" s="129"/>
      <c r="P33" s="129"/>
      <c r="AH33" s="50">
        <v>0</v>
      </c>
    </row>
    <row r="34" s="50" customFormat="1" ht="18.75" hidden="1" customHeight="1">
      <c r="A34" s="143"/>
      <c r="B34" s="143"/>
      <c r="C34" s="409" t="s">
        <v>1145</v>
      </c>
      <c r="D34" s="1037"/>
      <c r="E34" s="359"/>
      <c r="F34" s="79"/>
      <c r="G34" s="961"/>
      <c r="H34" s="758"/>
      <c r="I34" s="177" t="s">
        <v>1146</v>
      </c>
      <c r="J34" s="235"/>
      <c r="K34" s="758"/>
      <c r="L34" s="889"/>
      <c r="M34" s="287"/>
      <c r="N34" s="838"/>
      <c r="O34" s="129"/>
      <c r="P34" s="129"/>
      <c r="AH34" s="50">
        <v>0</v>
      </c>
    </row>
    <row r="35" s="50" customFormat="1" ht="0.75" hidden="1" customHeight="1">
      <c r="A35" s="143"/>
      <c r="B35" s="143"/>
      <c r="C35" s="409" t="s">
        <v>1151</v>
      </c>
      <c r="D35" s="1037"/>
      <c r="E35" s="359"/>
      <c r="F35" s="79"/>
      <c r="G35" s="1036"/>
      <c r="H35" s="758"/>
      <c r="I35" s="177"/>
      <c r="J35" s="235"/>
      <c r="K35" s="758"/>
      <c r="L35" s="889"/>
      <c r="M35" s="287"/>
      <c r="N35" s="838"/>
      <c r="O35" s="129"/>
      <c r="P35" s="129"/>
      <c r="AH35" s="50">
        <v>0</v>
      </c>
    </row>
    <row r="36" s="50" customFormat="1" ht="18.75" hidden="1" customHeight="1">
      <c r="A36" s="143" t="s">
        <v>178</v>
      </c>
      <c r="B36" s="143" t="s">
        <v>179</v>
      </c>
      <c r="C36" s="409"/>
      <c r="D36" s="1037"/>
      <c r="E36" s="359"/>
      <c r="F36" s="79" t="str">
        <f>INDEX(PT_DIFFERENTIATION_VTAR,MATCH(A36,PT_DIFFERENTIATION_VTAR_ID,0))</f>
        <v xml:space="preserve">Тарифы на услуги по передаче тепловой энергии</v>
      </c>
      <c r="G36" s="961" t="str">
        <f>INDEX(PT_DIFFERENTIATION_NTAR,MATCH(B36,PT_DIFFERENTIATION_NTAR_ID,0))</f>
        <v/>
      </c>
      <c r="H36" s="431"/>
      <c r="I36" s="1027"/>
      <c r="J36" s="1028"/>
      <c r="K36" s="621"/>
      <c r="L36" s="431" t="s">
        <v>308</v>
      </c>
      <c r="M36" s="287"/>
      <c r="N36" s="838"/>
      <c r="O36" s="129"/>
      <c r="P36" s="129"/>
      <c r="AH36" s="50">
        <v>0</v>
      </c>
    </row>
    <row r="37" s="50" customFormat="1" ht="18.75" hidden="1" customHeight="1">
      <c r="A37" s="143"/>
      <c r="B37" s="143"/>
      <c r="C37" s="409" t="s">
        <v>1145</v>
      </c>
      <c r="D37" s="1037"/>
      <c r="E37" s="359"/>
      <c r="F37" s="79"/>
      <c r="G37" s="961"/>
      <c r="H37" s="758"/>
      <c r="I37" s="177" t="s">
        <v>1146</v>
      </c>
      <c r="J37" s="235"/>
      <c r="K37" s="758"/>
      <c r="L37" s="889"/>
      <c r="M37" s="287"/>
      <c r="N37" s="838"/>
      <c r="O37" s="129"/>
      <c r="P37" s="129"/>
      <c r="AH37" s="50">
        <v>0</v>
      </c>
    </row>
    <row r="38" s="50" customFormat="1" ht="0.75" hidden="1" customHeight="1">
      <c r="A38" s="143"/>
      <c r="B38" s="143"/>
      <c r="C38" s="409" t="s">
        <v>1151</v>
      </c>
      <c r="D38" s="1037"/>
      <c r="E38" s="359"/>
      <c r="F38" s="79"/>
      <c r="G38" s="1036"/>
      <c r="H38" s="758"/>
      <c r="I38" s="177"/>
      <c r="J38" s="235"/>
      <c r="K38" s="758"/>
      <c r="L38" s="889"/>
      <c r="M38" s="287"/>
      <c r="N38" s="838"/>
      <c r="O38" s="129"/>
      <c r="P38" s="129"/>
      <c r="AH38" s="50">
        <v>0</v>
      </c>
    </row>
    <row r="39" s="50" customFormat="1" ht="18.75" hidden="1" customHeight="1">
      <c r="A39" s="143" t="s">
        <v>184</v>
      </c>
      <c r="B39" s="143" t="s">
        <v>185</v>
      </c>
      <c r="C39" s="409"/>
      <c r="D39" s="1037"/>
      <c r="E39" s="359"/>
      <c r="F39" s="79" t="str">
        <f>INDEX(PT_DIFFERENTIATION_VTAR,MATCH(A39,PT_DIFFERENTIATION_VTAR_ID,0))</f>
        <v xml:space="preserve">Тарифы на услуги по передаче теплоносителя</v>
      </c>
      <c r="G39" s="961" t="str">
        <f>INDEX(PT_DIFFERENTIATION_NTAR,MATCH(B39,PT_DIFFERENTIATION_NTAR_ID,0))</f>
        <v/>
      </c>
      <c r="H39" s="431"/>
      <c r="I39" s="1027"/>
      <c r="J39" s="1028"/>
      <c r="K39" s="621"/>
      <c r="L39" s="431" t="s">
        <v>308</v>
      </c>
      <c r="M39" s="287"/>
      <c r="N39" s="838"/>
      <c r="O39" s="129"/>
      <c r="P39" s="129"/>
      <c r="AH39" s="50">
        <v>0</v>
      </c>
    </row>
    <row r="40" s="50" customFormat="1" ht="18.75" hidden="1" customHeight="1">
      <c r="A40" s="143"/>
      <c r="B40" s="143"/>
      <c r="C40" s="409" t="s">
        <v>1145</v>
      </c>
      <c r="D40" s="1037"/>
      <c r="E40" s="359"/>
      <c r="F40" s="79"/>
      <c r="G40" s="961"/>
      <c r="H40" s="758"/>
      <c r="I40" s="177" t="s">
        <v>1146</v>
      </c>
      <c r="J40" s="235"/>
      <c r="K40" s="758"/>
      <c r="L40" s="889"/>
      <c r="M40" s="287"/>
      <c r="N40" s="838"/>
      <c r="O40" s="129"/>
      <c r="P40" s="129"/>
      <c r="AH40" s="50">
        <v>0</v>
      </c>
    </row>
    <row r="41" s="50" customFormat="1" ht="0.75" hidden="1" customHeight="1">
      <c r="A41" s="143"/>
      <c r="B41" s="143"/>
      <c r="C41" s="409" t="s">
        <v>1151</v>
      </c>
      <c r="D41" s="1037"/>
      <c r="E41" s="359"/>
      <c r="F41" s="79"/>
      <c r="G41" s="1036"/>
      <c r="H41" s="758"/>
      <c r="I41" s="177"/>
      <c r="J41" s="235"/>
      <c r="K41" s="758"/>
      <c r="L41" s="889"/>
      <c r="M41" s="287"/>
      <c r="N41" s="838"/>
      <c r="O41" s="129"/>
      <c r="P41" s="129"/>
      <c r="AH41" s="50">
        <v>0</v>
      </c>
    </row>
    <row r="42" s="50" customFormat="1" ht="18.75" hidden="1" customHeight="1">
      <c r="A42" s="143" t="s">
        <v>190</v>
      </c>
      <c r="B42" s="143" t="s">
        <v>191</v>
      </c>
      <c r="C42" s="409"/>
      <c r="D42" s="1037"/>
      <c r="E42" s="359"/>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61" t="str">
        <f>INDEX(PT_DIFFERENTIATION_NTAR,MATCH(B42,PT_DIFFERENTIATION_NTAR_ID,0))</f>
        <v/>
      </c>
      <c r="H42" s="431"/>
      <c r="I42" s="1027"/>
      <c r="J42" s="1028"/>
      <c r="K42" s="621"/>
      <c r="L42" s="431" t="s">
        <v>308</v>
      </c>
      <c r="M42" s="287"/>
      <c r="N42" s="838"/>
      <c r="O42" s="129"/>
      <c r="P42" s="129"/>
      <c r="AH42" s="50">
        <v>0</v>
      </c>
    </row>
    <row r="43" s="50" customFormat="1" ht="18.75" hidden="1" customHeight="1">
      <c r="A43" s="143"/>
      <c r="B43" s="143"/>
      <c r="C43" s="409" t="s">
        <v>1145</v>
      </c>
      <c r="D43" s="1037"/>
      <c r="E43" s="359"/>
      <c r="F43" s="79"/>
      <c r="G43" s="961"/>
      <c r="H43" s="758"/>
      <c r="I43" s="177" t="s">
        <v>1146</v>
      </c>
      <c r="J43" s="235"/>
      <c r="K43" s="758"/>
      <c r="L43" s="889"/>
      <c r="M43" s="287"/>
      <c r="N43" s="838"/>
      <c r="O43" s="129"/>
      <c r="P43" s="129"/>
      <c r="AH43" s="50">
        <v>0</v>
      </c>
    </row>
    <row r="44" s="50" customFormat="1" ht="0.75" hidden="1" customHeight="1">
      <c r="A44" s="143"/>
      <c r="B44" s="143"/>
      <c r="C44" s="409" t="s">
        <v>1151</v>
      </c>
      <c r="D44" s="1037"/>
      <c r="E44" s="359"/>
      <c r="F44" s="79"/>
      <c r="G44" s="1036"/>
      <c r="H44" s="758"/>
      <c r="I44" s="177"/>
      <c r="J44" s="235"/>
      <c r="K44" s="758"/>
      <c r="L44" s="889"/>
      <c r="M44" s="287"/>
      <c r="N44" s="838"/>
      <c r="O44" s="129"/>
      <c r="P44" s="129"/>
      <c r="AH44" s="50">
        <v>0</v>
      </c>
    </row>
    <row r="45" s="50" customFormat="1" ht="18.75" hidden="1" customHeight="1">
      <c r="A45" s="143" t="s">
        <v>196</v>
      </c>
      <c r="B45" s="143" t="s">
        <v>197</v>
      </c>
      <c r="C45" s="409"/>
      <c r="D45" s="1037"/>
      <c r="E45" s="359"/>
      <c r="F45" s="79" t="str">
        <f>INDEX(PT_DIFFERENTIATION_VTAR,MATCH(A45,PT_DIFFERENTIATION_VTAR_ID,0))</f>
        <v xml:space="preserve">Плата за подключение (технологическое присоединение) к системе теплоснабжения</v>
      </c>
      <c r="G45" s="961" t="str">
        <f>INDEX(PT_DIFFERENTIATION_NTAR,MATCH(B45,PT_DIFFERENTIATION_NTAR_ID,0))</f>
        <v/>
      </c>
      <c r="H45" s="431"/>
      <c r="I45" s="1027"/>
      <c r="J45" s="1028"/>
      <c r="K45" s="621"/>
      <c r="L45" s="431" t="s">
        <v>308</v>
      </c>
      <c r="M45" s="287"/>
      <c r="N45" s="838"/>
      <c r="O45" s="129"/>
      <c r="P45" s="129"/>
      <c r="AH45" s="50">
        <v>0</v>
      </c>
    </row>
    <row r="46" s="50" customFormat="1" ht="18.75" hidden="1" customHeight="1">
      <c r="A46" s="143"/>
      <c r="B46" s="143"/>
      <c r="C46" s="409" t="s">
        <v>1145</v>
      </c>
      <c r="D46" s="1037"/>
      <c r="E46" s="359"/>
      <c r="F46" s="79"/>
      <c r="G46" s="961"/>
      <c r="H46" s="758"/>
      <c r="I46" s="177" t="s">
        <v>1146</v>
      </c>
      <c r="J46" s="235"/>
      <c r="K46" s="758"/>
      <c r="L46" s="889"/>
      <c r="M46" s="287"/>
      <c r="N46" s="838"/>
      <c r="O46" s="129"/>
      <c r="P46" s="129"/>
      <c r="AH46" s="50">
        <v>0</v>
      </c>
    </row>
    <row r="47" s="50" customFormat="1" ht="0.75" hidden="1" customHeight="1">
      <c r="A47" s="143"/>
      <c r="B47" s="143"/>
      <c r="C47" s="409" t="s">
        <v>1151</v>
      </c>
      <c r="D47" s="1037"/>
      <c r="E47" s="359"/>
      <c r="F47" s="79"/>
      <c r="G47" s="1036"/>
      <c r="H47" s="758"/>
      <c r="I47" s="177"/>
      <c r="J47" s="235"/>
      <c r="K47" s="758"/>
      <c r="L47" s="889"/>
      <c r="M47" s="287"/>
      <c r="N47" s="838"/>
      <c r="O47" s="129"/>
      <c r="P47" s="129"/>
      <c r="AH47" s="50">
        <v>0</v>
      </c>
    </row>
    <row r="48" s="50" customFormat="1" ht="18.75" hidden="1" customHeight="1">
      <c r="A48" s="143" t="s">
        <v>202</v>
      </c>
      <c r="B48" s="143" t="s">
        <v>203</v>
      </c>
      <c r="C48" s="409"/>
      <c r="D48" s="1037"/>
      <c r="E48" s="359"/>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61" t="str">
        <f>INDEX(PT_DIFFERENTIATION_NTAR,MATCH(B48,PT_DIFFERENTIATION_NTAR_ID,0))</f>
        <v/>
      </c>
      <c r="H48" s="431"/>
      <c r="I48" s="1027"/>
      <c r="J48" s="1028"/>
      <c r="K48" s="621"/>
      <c r="L48" s="431" t="s">
        <v>308</v>
      </c>
      <c r="M48" s="287"/>
      <c r="N48" s="838"/>
      <c r="O48" s="129"/>
      <c r="P48" s="129"/>
      <c r="AH48" s="50">
        <v>0</v>
      </c>
    </row>
    <row r="49" s="50" customFormat="1" ht="18.75" hidden="1" customHeight="1">
      <c r="A49" s="143"/>
      <c r="B49" s="143"/>
      <c r="C49" s="409" t="s">
        <v>1145</v>
      </c>
      <c r="D49" s="1037"/>
      <c r="E49" s="359"/>
      <c r="F49" s="79"/>
      <c r="G49" s="961"/>
      <c r="H49" s="758"/>
      <c r="I49" s="177" t="s">
        <v>1146</v>
      </c>
      <c r="J49" s="235"/>
      <c r="K49" s="758"/>
      <c r="L49" s="889"/>
      <c r="M49" s="287"/>
      <c r="N49" s="838"/>
      <c r="O49" s="129"/>
      <c r="P49" s="129"/>
      <c r="AH49" s="50">
        <v>0</v>
      </c>
    </row>
    <row r="50" s="50" customFormat="1" ht="0.75" hidden="1" customHeight="1">
      <c r="A50" s="143"/>
      <c r="B50" s="143"/>
      <c r="C50" s="409" t="s">
        <v>1151</v>
      </c>
      <c r="D50" s="1037"/>
      <c r="E50" s="359"/>
      <c r="F50" s="79"/>
      <c r="G50" s="1036"/>
      <c r="H50" s="758"/>
      <c r="I50" s="177"/>
      <c r="J50" s="235"/>
      <c r="K50" s="758"/>
      <c r="L50" s="889"/>
      <c r="M50" s="287"/>
      <c r="N50" s="838"/>
      <c r="O50" s="129"/>
      <c r="P50" s="129"/>
      <c r="AH50" s="50">
        <v>0</v>
      </c>
    </row>
    <row r="51" s="50" customFormat="1" ht="18.75" hidden="1" customHeight="1">
      <c r="A51" s="143" t="s">
        <v>222</v>
      </c>
      <c r="B51" s="143" t="s">
        <v>223</v>
      </c>
      <c r="C51" s="409"/>
      <c r="D51" s="1037"/>
      <c r="E51" s="359"/>
      <c r="F51" s="79" t="str">
        <f>INDEX(PT_DIFFERENTIATION_VTAR,MATCH(A51,PT_DIFFERENTIATION_VTAR_ID,0))</f>
        <v xml:space="preserve">Тариф на питьевую воду (питьевое водоснабжение)</v>
      </c>
      <c r="G51" s="961" t="str">
        <f>INDEX(PT_DIFFERENTIATION_NTAR,MATCH(B51,PT_DIFFERENTIATION_NTAR_ID,0))</f>
        <v/>
      </c>
      <c r="H51" s="431"/>
      <c r="I51" s="1027"/>
      <c r="J51" s="1028"/>
      <c r="K51" s="621"/>
      <c r="L51" s="431" t="s">
        <v>308</v>
      </c>
      <c r="M51" s="287"/>
      <c r="N51" s="838"/>
      <c r="O51" s="129"/>
      <c r="P51" s="129"/>
      <c r="AH51" s="50">
        <v>0</v>
      </c>
    </row>
    <row r="52" s="50" customFormat="1" ht="18.75" hidden="1" customHeight="1">
      <c r="A52" s="143"/>
      <c r="B52" s="143"/>
      <c r="C52" s="409" t="s">
        <v>1145</v>
      </c>
      <c r="D52" s="1037"/>
      <c r="E52" s="359"/>
      <c r="F52" s="79"/>
      <c r="G52" s="961"/>
      <c r="H52" s="758"/>
      <c r="I52" s="177" t="s">
        <v>1146</v>
      </c>
      <c r="J52" s="235"/>
      <c r="K52" s="758"/>
      <c r="L52" s="889"/>
      <c r="M52" s="287"/>
      <c r="N52" s="838"/>
      <c r="O52" s="129"/>
      <c r="P52" s="129"/>
      <c r="AH52" s="50">
        <v>0</v>
      </c>
    </row>
    <row r="53" s="50" customFormat="1" ht="0.75" hidden="1" customHeight="1">
      <c r="A53" s="143"/>
      <c r="B53" s="143"/>
      <c r="C53" s="409" t="s">
        <v>1151</v>
      </c>
      <c r="D53" s="1037"/>
      <c r="E53" s="359"/>
      <c r="F53" s="79"/>
      <c r="G53" s="1036"/>
      <c r="H53" s="758"/>
      <c r="I53" s="177"/>
      <c r="J53" s="235"/>
      <c r="K53" s="758"/>
      <c r="L53" s="889"/>
      <c r="M53" s="287"/>
      <c r="N53" s="838"/>
      <c r="O53" s="129"/>
      <c r="P53" s="129"/>
      <c r="AH53" s="50">
        <v>0</v>
      </c>
    </row>
    <row r="54" s="50" customFormat="1" ht="18.75" hidden="1" customHeight="1">
      <c r="A54" s="143" t="s">
        <v>227</v>
      </c>
      <c r="B54" s="143" t="s">
        <v>228</v>
      </c>
      <c r="C54" s="409"/>
      <c r="D54" s="1037"/>
      <c r="E54" s="359"/>
      <c r="F54" s="79" t="str">
        <f>INDEX(PT_DIFFERENTIATION_VTAR,MATCH(A54,PT_DIFFERENTIATION_VTAR_ID,0))</f>
        <v xml:space="preserve">Тариф на техническую воду</v>
      </c>
      <c r="G54" s="961" t="str">
        <f>INDEX(PT_DIFFERENTIATION_NTAR,MATCH(B54,PT_DIFFERENTIATION_NTAR_ID,0))</f>
        <v/>
      </c>
      <c r="H54" s="431"/>
      <c r="I54" s="1027"/>
      <c r="J54" s="1028"/>
      <c r="K54" s="621"/>
      <c r="L54" s="431" t="s">
        <v>308</v>
      </c>
      <c r="M54" s="287"/>
      <c r="N54" s="838"/>
      <c r="O54" s="129"/>
      <c r="P54" s="129"/>
      <c r="AH54" s="50">
        <v>0</v>
      </c>
    </row>
    <row r="55" s="50" customFormat="1" ht="18.75" hidden="1" customHeight="1">
      <c r="A55" s="143"/>
      <c r="B55" s="143"/>
      <c r="C55" s="409" t="s">
        <v>1145</v>
      </c>
      <c r="D55" s="1037"/>
      <c r="E55" s="359"/>
      <c r="F55" s="79"/>
      <c r="G55" s="961"/>
      <c r="H55" s="758"/>
      <c r="I55" s="177" t="s">
        <v>1146</v>
      </c>
      <c r="J55" s="235"/>
      <c r="K55" s="758"/>
      <c r="L55" s="889"/>
      <c r="M55" s="287"/>
      <c r="N55" s="838"/>
      <c r="O55" s="129"/>
      <c r="P55" s="129"/>
      <c r="AH55" s="50">
        <v>0</v>
      </c>
    </row>
    <row r="56" s="50" customFormat="1" ht="0.75" hidden="1" customHeight="1">
      <c r="A56" s="143"/>
      <c r="B56" s="143"/>
      <c r="C56" s="409" t="s">
        <v>1151</v>
      </c>
      <c r="D56" s="1037"/>
      <c r="E56" s="359"/>
      <c r="F56" s="79"/>
      <c r="G56" s="1036"/>
      <c r="H56" s="758"/>
      <c r="I56" s="177"/>
      <c r="J56" s="235"/>
      <c r="K56" s="758"/>
      <c r="L56" s="889"/>
      <c r="M56" s="287"/>
      <c r="N56" s="838"/>
      <c r="O56" s="129"/>
      <c r="P56" s="129"/>
      <c r="AH56" s="50">
        <v>0</v>
      </c>
    </row>
    <row r="57" s="50" customFormat="1" ht="18.75" customHeight="1">
      <c r="A57" s="143" t="s">
        <v>234</v>
      </c>
      <c r="B57" s="143" t="s">
        <v>235</v>
      </c>
      <c r="C57" s="409"/>
      <c r="D57" s="1037"/>
      <c r="E57" s="359"/>
      <c r="F57" s="79" t="str">
        <f>INDEX(PT_DIFFERENTIATION_VTAR,MATCH(A57,PT_DIFFERENTIATION_VTAR_ID,0))</f>
        <v xml:space="preserve">Тариф на транспортировку воды</v>
      </c>
      <c r="G57" s="961" t="str">
        <f>INDEX(PT_DIFFERENTIATION_NTAR,MATCH(B57,PT_DIFFERENTIATION_NTAR_ID,0))</f>
        <v xml:space="preserve">Тариф на транспортировку питьевой воды</v>
      </c>
      <c r="H57" s="431"/>
      <c r="I57" s="1027">
        <v>45658.55059027778</v>
      </c>
      <c r="J57" s="1028">
        <v>46022.550821759258</v>
      </c>
      <c r="K57" s="621" t="s">
        <v>1152</v>
      </c>
      <c r="L57" s="431" t="s">
        <v>308</v>
      </c>
      <c r="M57" s="287"/>
      <c r="N57" s="838"/>
      <c r="O57" s="129"/>
      <c r="P57" s="129"/>
      <c r="AH57" s="50">
        <v>0</v>
      </c>
    </row>
    <row r="58" s="50" customFormat="1" ht="18.75" customHeight="1">
      <c r="A58" s="143"/>
      <c r="B58" s="143"/>
      <c r="C58" s="409" t="s">
        <v>1145</v>
      </c>
      <c r="D58" s="1037"/>
      <c r="E58" s="359"/>
      <c r="F58" s="79"/>
      <c r="G58" s="961"/>
      <c r="H58" s="758"/>
      <c r="I58" s="177" t="s">
        <v>1146</v>
      </c>
      <c r="J58" s="235"/>
      <c r="K58" s="758"/>
      <c r="L58" s="889"/>
      <c r="M58" s="287"/>
      <c r="N58" s="838"/>
      <c r="O58" s="129"/>
      <c r="P58" s="129"/>
      <c r="AH58" s="50">
        <v>0</v>
      </c>
    </row>
    <row r="59" s="50" customFormat="1" ht="0.75" customHeight="1">
      <c r="A59" s="143"/>
      <c r="B59" s="143"/>
      <c r="C59" s="409" t="s">
        <v>1151</v>
      </c>
      <c r="D59" s="1037"/>
      <c r="E59" s="359"/>
      <c r="F59" s="79"/>
      <c r="G59" s="1036"/>
      <c r="H59" s="758"/>
      <c r="I59" s="177"/>
      <c r="J59" s="235"/>
      <c r="K59" s="758"/>
      <c r="L59" s="889"/>
      <c r="M59" s="287"/>
      <c r="N59" s="838"/>
      <c r="O59" s="129"/>
      <c r="P59" s="129"/>
      <c r="AH59" s="50">
        <v>0</v>
      </c>
    </row>
    <row r="60" s="50" customFormat="1" ht="18.75" hidden="1" customHeight="1">
      <c r="A60" s="143" t="s">
        <v>242</v>
      </c>
      <c r="B60" s="143" t="s">
        <v>243</v>
      </c>
      <c r="C60" s="409"/>
      <c r="D60" s="1037"/>
      <c r="E60" s="359"/>
      <c r="F60" s="79" t="str">
        <f>INDEX(PT_DIFFERENTIATION_VTAR,MATCH(A60,PT_DIFFERENTIATION_VTAR_ID,0))</f>
        <v xml:space="preserve">Тариф на подвоз воды</v>
      </c>
      <c r="G60" s="961" t="str">
        <f>INDEX(PT_DIFFERENTIATION_NTAR,MATCH(B60,PT_DIFFERENTIATION_NTAR_ID,0))</f>
        <v/>
      </c>
      <c r="H60" s="431"/>
      <c r="I60" s="1027"/>
      <c r="J60" s="1028"/>
      <c r="K60" s="621"/>
      <c r="L60" s="431" t="s">
        <v>308</v>
      </c>
      <c r="M60" s="287"/>
      <c r="N60" s="838"/>
      <c r="O60" s="129"/>
      <c r="P60" s="129"/>
      <c r="AH60" s="50">
        <v>0</v>
      </c>
    </row>
    <row r="61" s="50" customFormat="1" ht="18.75" hidden="1" customHeight="1">
      <c r="A61" s="143"/>
      <c r="B61" s="143"/>
      <c r="C61" s="409" t="s">
        <v>1145</v>
      </c>
      <c r="D61" s="1037"/>
      <c r="E61" s="359"/>
      <c r="F61" s="79"/>
      <c r="G61" s="961"/>
      <c r="H61" s="758"/>
      <c r="I61" s="177" t="s">
        <v>1146</v>
      </c>
      <c r="J61" s="235"/>
      <c r="K61" s="758"/>
      <c r="L61" s="889"/>
      <c r="M61" s="287"/>
      <c r="N61" s="838"/>
      <c r="O61" s="129"/>
      <c r="P61" s="129"/>
      <c r="AH61" s="50">
        <v>0</v>
      </c>
    </row>
    <row r="62" s="50" customFormat="1" ht="0.75" hidden="1" customHeight="1">
      <c r="A62" s="143"/>
      <c r="B62" s="143"/>
      <c r="C62" s="409" t="s">
        <v>1151</v>
      </c>
      <c r="D62" s="1037"/>
      <c r="E62" s="359"/>
      <c r="F62" s="79"/>
      <c r="G62" s="1036"/>
      <c r="H62" s="758"/>
      <c r="I62" s="177"/>
      <c r="J62" s="235"/>
      <c r="K62" s="758"/>
      <c r="L62" s="889"/>
      <c r="M62" s="287"/>
      <c r="N62" s="838"/>
      <c r="O62" s="129"/>
      <c r="P62" s="129"/>
      <c r="AH62" s="50">
        <v>0</v>
      </c>
    </row>
    <row r="63" s="50" customFormat="1" ht="18.75" hidden="1" customHeight="1">
      <c r="A63" s="143" t="s">
        <v>247</v>
      </c>
      <c r="B63" s="143" t="s">
        <v>248</v>
      </c>
      <c r="C63" s="409"/>
      <c r="D63" s="1037"/>
      <c r="E63" s="359"/>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61" t="str">
        <f>INDEX(PT_DIFFERENTIATION_NTAR,MATCH(B63,PT_DIFFERENTIATION_NTAR_ID,0))</f>
        <v/>
      </c>
      <c r="H63" s="431"/>
      <c r="I63" s="1027"/>
      <c r="J63" s="1028"/>
      <c r="K63" s="621"/>
      <c r="L63" s="431" t="s">
        <v>308</v>
      </c>
      <c r="M63" s="287"/>
      <c r="N63" s="838"/>
      <c r="O63" s="129"/>
      <c r="P63" s="129"/>
      <c r="AH63" s="50">
        <v>0</v>
      </c>
    </row>
    <row r="64" s="50" customFormat="1" ht="18.75" hidden="1" customHeight="1">
      <c r="A64" s="143"/>
      <c r="B64" s="143"/>
      <c r="C64" s="409" t="s">
        <v>1145</v>
      </c>
      <c r="D64" s="1037"/>
      <c r="E64" s="359"/>
      <c r="F64" s="79"/>
      <c r="G64" s="961"/>
      <c r="H64" s="758"/>
      <c r="I64" s="177" t="s">
        <v>1146</v>
      </c>
      <c r="J64" s="235"/>
      <c r="K64" s="758"/>
      <c r="L64" s="889"/>
      <c r="M64" s="287"/>
      <c r="N64" s="838"/>
      <c r="O64" s="129"/>
      <c r="P64" s="129"/>
      <c r="AH64" s="50">
        <v>0</v>
      </c>
    </row>
    <row r="65" s="50" customFormat="1" ht="0.75" hidden="1" customHeight="1">
      <c r="A65" s="143"/>
      <c r="B65" s="143"/>
      <c r="C65" s="409" t="s">
        <v>1151</v>
      </c>
      <c r="D65" s="1037"/>
      <c r="E65" s="359"/>
      <c r="F65" s="79"/>
      <c r="G65" s="1036"/>
      <c r="H65" s="758"/>
      <c r="I65" s="177"/>
      <c r="J65" s="235"/>
      <c r="K65" s="758"/>
      <c r="L65" s="889"/>
      <c r="M65" s="287"/>
      <c r="N65" s="838"/>
      <c r="O65" s="129"/>
      <c r="P65" s="129"/>
      <c r="AH65" s="50">
        <v>0</v>
      </c>
    </row>
    <row r="66" s="50" customFormat="1" ht="18.75" hidden="1" customHeight="1">
      <c r="A66" s="143" t="s">
        <v>252</v>
      </c>
      <c r="B66" s="143" t="s">
        <v>253</v>
      </c>
      <c r="C66" s="409"/>
      <c r="D66" s="1037"/>
      <c r="E66" s="359"/>
      <c r="F66" s="79" t="str">
        <f>INDEX(PT_DIFFERENTIATION_VTAR,MATCH(A66,PT_DIFFERENTIATION_VTAR_ID,0))</f>
        <v xml:space="preserve">Тариф на горячую воду (горячее водоснабжение)</v>
      </c>
      <c r="G66" s="961" t="str">
        <f>INDEX(PT_DIFFERENTIATION_NTAR,MATCH(B66,PT_DIFFERENTIATION_NTAR_ID,0))</f>
        <v/>
      </c>
      <c r="H66" s="431"/>
      <c r="I66" s="1027"/>
      <c r="J66" s="1028"/>
      <c r="K66" s="621"/>
      <c r="L66" s="431" t="s">
        <v>308</v>
      </c>
      <c r="M66" s="287"/>
      <c r="N66" s="838"/>
      <c r="O66" s="129"/>
      <c r="P66" s="129"/>
      <c r="AH66" s="50">
        <v>0</v>
      </c>
    </row>
    <row r="67" s="50" customFormat="1" ht="18.75" hidden="1" customHeight="1">
      <c r="A67" s="143"/>
      <c r="B67" s="143"/>
      <c r="C67" s="409" t="s">
        <v>1145</v>
      </c>
      <c r="D67" s="1037"/>
      <c r="E67" s="359"/>
      <c r="F67" s="79"/>
      <c r="G67" s="961"/>
      <c r="H67" s="758"/>
      <c r="I67" s="177" t="s">
        <v>1146</v>
      </c>
      <c r="J67" s="235"/>
      <c r="K67" s="758"/>
      <c r="L67" s="889"/>
      <c r="M67" s="287"/>
      <c r="N67" s="838"/>
      <c r="O67" s="129"/>
      <c r="P67" s="129"/>
      <c r="AH67" s="50">
        <v>0</v>
      </c>
    </row>
    <row r="68" s="50" customFormat="1" ht="0.75" hidden="1" customHeight="1">
      <c r="A68" s="143"/>
      <c r="B68" s="143"/>
      <c r="C68" s="409" t="s">
        <v>1151</v>
      </c>
      <c r="D68" s="1037"/>
      <c r="E68" s="359"/>
      <c r="F68" s="79"/>
      <c r="G68" s="1036"/>
      <c r="H68" s="758"/>
      <c r="I68" s="177"/>
      <c r="J68" s="235"/>
      <c r="K68" s="758"/>
      <c r="L68" s="889"/>
      <c r="M68" s="287"/>
      <c r="N68" s="838"/>
      <c r="O68" s="129"/>
      <c r="P68" s="129"/>
      <c r="AH68" s="50">
        <v>0</v>
      </c>
    </row>
    <row r="69" s="50" customFormat="1" ht="18.75" hidden="1" customHeight="1">
      <c r="A69" s="143" t="s">
        <v>257</v>
      </c>
      <c r="B69" s="143" t="s">
        <v>258</v>
      </c>
      <c r="C69" s="409"/>
      <c r="D69" s="1037"/>
      <c r="E69" s="359"/>
      <c r="F69" s="79" t="str">
        <f>INDEX(PT_DIFFERENTIATION_VTAR,MATCH(A69,PT_DIFFERENTIATION_VTAR_ID,0))</f>
        <v xml:space="preserve">Тариф на транспортировку горячей воды</v>
      </c>
      <c r="G69" s="961" t="str">
        <f>INDEX(PT_DIFFERENTIATION_NTAR,MATCH(B69,PT_DIFFERENTIATION_NTAR_ID,0))</f>
        <v/>
      </c>
      <c r="H69" s="431"/>
      <c r="I69" s="1027"/>
      <c r="J69" s="1028"/>
      <c r="K69" s="621"/>
      <c r="L69" s="431" t="s">
        <v>308</v>
      </c>
      <c r="M69" s="287"/>
      <c r="N69" s="838"/>
      <c r="O69" s="129"/>
      <c r="P69" s="129"/>
      <c r="AH69" s="50">
        <v>0</v>
      </c>
    </row>
    <row r="70" s="50" customFormat="1" ht="18.75" hidden="1" customHeight="1">
      <c r="A70" s="143"/>
      <c r="B70" s="143"/>
      <c r="C70" s="409" t="s">
        <v>1145</v>
      </c>
      <c r="D70" s="1037"/>
      <c r="E70" s="359"/>
      <c r="F70" s="79"/>
      <c r="G70" s="961"/>
      <c r="H70" s="758"/>
      <c r="I70" s="177" t="s">
        <v>1146</v>
      </c>
      <c r="J70" s="235"/>
      <c r="K70" s="758"/>
      <c r="L70" s="889"/>
      <c r="M70" s="287"/>
      <c r="N70" s="838"/>
      <c r="O70" s="129"/>
      <c r="P70" s="129"/>
      <c r="AH70" s="50">
        <v>0</v>
      </c>
    </row>
    <row r="71" s="50" customFormat="1" ht="0.75" hidden="1" customHeight="1">
      <c r="A71" s="143"/>
      <c r="B71" s="143"/>
      <c r="C71" s="409" t="s">
        <v>1151</v>
      </c>
      <c r="D71" s="1037"/>
      <c r="E71" s="359"/>
      <c r="F71" s="79"/>
      <c r="G71" s="1036"/>
      <c r="H71" s="758"/>
      <c r="I71" s="177"/>
      <c r="J71" s="235"/>
      <c r="K71" s="758"/>
      <c r="L71" s="889"/>
      <c r="M71" s="287"/>
      <c r="N71" s="838"/>
      <c r="O71" s="129"/>
      <c r="P71" s="129"/>
      <c r="AH71" s="50">
        <v>0</v>
      </c>
    </row>
    <row r="72" s="50" customFormat="1" ht="18.75" hidden="1" customHeight="1">
      <c r="A72" s="143" t="s">
        <v>262</v>
      </c>
      <c r="B72" s="143" t="s">
        <v>263</v>
      </c>
      <c r="C72" s="409"/>
      <c r="D72" s="1037"/>
      <c r="E72" s="359"/>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61" t="str">
        <f>INDEX(PT_DIFFERENTIATION_NTAR,MATCH(B72,PT_DIFFERENTIATION_NTAR_ID,0))</f>
        <v/>
      </c>
      <c r="H72" s="431"/>
      <c r="I72" s="1027"/>
      <c r="J72" s="1028"/>
      <c r="K72" s="621"/>
      <c r="L72" s="431" t="s">
        <v>308</v>
      </c>
      <c r="M72" s="287"/>
      <c r="N72" s="838"/>
      <c r="O72" s="129"/>
      <c r="P72" s="129"/>
      <c r="AH72" s="50">
        <v>0</v>
      </c>
    </row>
    <row r="73" s="50" customFormat="1" ht="18.75" hidden="1" customHeight="1">
      <c r="A73" s="143"/>
      <c r="B73" s="143"/>
      <c r="C73" s="409" t="s">
        <v>1145</v>
      </c>
      <c r="D73" s="1037"/>
      <c r="E73" s="359"/>
      <c r="F73" s="79"/>
      <c r="G73" s="961"/>
      <c r="H73" s="758"/>
      <c r="I73" s="177" t="s">
        <v>1146</v>
      </c>
      <c r="J73" s="235"/>
      <c r="K73" s="758"/>
      <c r="L73" s="889"/>
      <c r="M73" s="287"/>
      <c r="N73" s="838"/>
      <c r="O73" s="129"/>
      <c r="P73" s="129"/>
      <c r="AH73" s="50">
        <v>0</v>
      </c>
    </row>
    <row r="74" s="50" customFormat="1" ht="0.75" hidden="1" customHeight="1">
      <c r="A74" s="143"/>
      <c r="B74" s="143"/>
      <c r="C74" s="409" t="s">
        <v>1151</v>
      </c>
      <c r="D74" s="1037"/>
      <c r="E74" s="359"/>
      <c r="F74" s="79"/>
      <c r="G74" s="1036"/>
      <c r="H74" s="758"/>
      <c r="I74" s="177"/>
      <c r="J74" s="235"/>
      <c r="K74" s="758"/>
      <c r="L74" s="889"/>
      <c r="M74" s="287"/>
      <c r="N74" s="838"/>
      <c r="O74" s="129"/>
      <c r="P74" s="129"/>
      <c r="AH74" s="50">
        <v>0</v>
      </c>
    </row>
    <row r="75" s="50" customFormat="1" ht="18.75" hidden="1" customHeight="1">
      <c r="A75" s="143" t="s">
        <v>267</v>
      </c>
      <c r="B75" s="143" t="s">
        <v>268</v>
      </c>
      <c r="C75" s="409"/>
      <c r="D75" s="1037"/>
      <c r="E75" s="359"/>
      <c r="F75" s="79" t="str">
        <f>INDEX(PT_DIFFERENTIATION_VTAR,MATCH(A75,PT_DIFFERENTIATION_VTAR_ID,0))</f>
        <v xml:space="preserve">Тариф на водоотведение</v>
      </c>
      <c r="G75" s="961" t="str">
        <f>INDEX(PT_DIFFERENTIATION_NTAR,MATCH(B75,PT_DIFFERENTIATION_NTAR_ID,0))</f>
        <v/>
      </c>
      <c r="H75" s="431"/>
      <c r="I75" s="1027"/>
      <c r="J75" s="1028"/>
      <c r="K75" s="621"/>
      <c r="L75" s="431" t="s">
        <v>308</v>
      </c>
      <c r="M75" s="287"/>
      <c r="N75" s="838"/>
      <c r="O75" s="129"/>
      <c r="P75" s="129"/>
      <c r="AH75" s="50">
        <v>0</v>
      </c>
    </row>
    <row r="76" s="50" customFormat="1" ht="18.75" hidden="1" customHeight="1">
      <c r="A76" s="143"/>
      <c r="B76" s="143"/>
      <c r="C76" s="409" t="s">
        <v>1145</v>
      </c>
      <c r="D76" s="1037"/>
      <c r="E76" s="359"/>
      <c r="F76" s="79"/>
      <c r="G76" s="961"/>
      <c r="H76" s="758"/>
      <c r="I76" s="177" t="s">
        <v>1146</v>
      </c>
      <c r="J76" s="235"/>
      <c r="K76" s="758"/>
      <c r="L76" s="889"/>
      <c r="M76" s="287"/>
      <c r="N76" s="838"/>
      <c r="O76" s="129"/>
      <c r="P76" s="129"/>
      <c r="AH76" s="50">
        <v>0</v>
      </c>
    </row>
    <row r="77" s="50" customFormat="1" ht="0.75" hidden="1" customHeight="1">
      <c r="A77" s="143"/>
      <c r="B77" s="143"/>
      <c r="C77" s="409" t="s">
        <v>1151</v>
      </c>
      <c r="D77" s="1037"/>
      <c r="E77" s="359"/>
      <c r="F77" s="79"/>
      <c r="G77" s="1036"/>
      <c r="H77" s="758"/>
      <c r="I77" s="177"/>
      <c r="J77" s="235"/>
      <c r="K77" s="758"/>
      <c r="L77" s="889"/>
      <c r="M77" s="287"/>
      <c r="N77" s="838"/>
      <c r="O77" s="129"/>
      <c r="P77" s="129"/>
      <c r="AH77" s="50">
        <v>0</v>
      </c>
    </row>
    <row r="78" s="50" customFormat="1" ht="18.75" hidden="1" customHeight="1">
      <c r="A78" s="143" t="s">
        <v>272</v>
      </c>
      <c r="B78" s="143" t="s">
        <v>273</v>
      </c>
      <c r="C78" s="409"/>
      <c r="D78" s="1037"/>
      <c r="E78" s="359"/>
      <c r="F78" s="79" t="str">
        <f>INDEX(PT_DIFFERENTIATION_VTAR,MATCH(A78,PT_DIFFERENTIATION_VTAR_ID,0))</f>
        <v xml:space="preserve">Тариф на транспортировку сточных вод</v>
      </c>
      <c r="G78" s="961" t="str">
        <f>INDEX(PT_DIFFERENTIATION_NTAR,MATCH(B78,PT_DIFFERENTIATION_NTAR_ID,0))</f>
        <v/>
      </c>
      <c r="H78" s="431"/>
      <c r="I78" s="1027"/>
      <c r="J78" s="1028"/>
      <c r="K78" s="621"/>
      <c r="L78" s="431" t="s">
        <v>308</v>
      </c>
      <c r="M78" s="287"/>
      <c r="N78" s="838"/>
      <c r="O78" s="129"/>
      <c r="P78" s="129"/>
      <c r="AH78" s="50">
        <v>0</v>
      </c>
    </row>
    <row r="79" s="50" customFormat="1" ht="18.75" hidden="1" customHeight="1">
      <c r="A79" s="143"/>
      <c r="B79" s="143"/>
      <c r="C79" s="409" t="s">
        <v>1145</v>
      </c>
      <c r="D79" s="1037"/>
      <c r="E79" s="359"/>
      <c r="F79" s="79"/>
      <c r="G79" s="961"/>
      <c r="H79" s="758"/>
      <c r="I79" s="177" t="s">
        <v>1146</v>
      </c>
      <c r="J79" s="235"/>
      <c r="K79" s="758"/>
      <c r="L79" s="889"/>
      <c r="M79" s="287"/>
      <c r="N79" s="838"/>
      <c r="O79" s="129"/>
      <c r="P79" s="129"/>
      <c r="AH79" s="50">
        <v>0</v>
      </c>
    </row>
    <row r="80" s="50" customFormat="1" ht="0.75" hidden="1" customHeight="1">
      <c r="A80" s="143"/>
      <c r="B80" s="143"/>
      <c r="C80" s="409" t="s">
        <v>1151</v>
      </c>
      <c r="D80" s="1037"/>
      <c r="E80" s="359"/>
      <c r="F80" s="79"/>
      <c r="G80" s="1036"/>
      <c r="H80" s="758"/>
      <c r="I80" s="177"/>
      <c r="J80" s="235"/>
      <c r="K80" s="758"/>
      <c r="L80" s="889"/>
      <c r="M80" s="287"/>
      <c r="N80" s="838"/>
      <c r="O80" s="129"/>
      <c r="P80" s="129"/>
      <c r="AH80" s="50">
        <v>0</v>
      </c>
    </row>
    <row r="81" s="50" customFormat="1" ht="18.75" hidden="1" customHeight="1">
      <c r="A81" s="143" t="s">
        <v>277</v>
      </c>
      <c r="B81" s="143" t="s">
        <v>278</v>
      </c>
      <c r="C81" s="409"/>
      <c r="D81" s="1037"/>
      <c r="E81" s="359"/>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61" t="str">
        <f>INDEX(PT_DIFFERENTIATION_NTAR,MATCH(B81,PT_DIFFERENTIATION_NTAR_ID,0))</f>
        <v/>
      </c>
      <c r="H81" s="431"/>
      <c r="I81" s="1027"/>
      <c r="J81" s="1028"/>
      <c r="K81" s="621"/>
      <c r="L81" s="431" t="s">
        <v>308</v>
      </c>
      <c r="M81" s="287"/>
      <c r="N81" s="838"/>
      <c r="O81" s="129"/>
      <c r="P81" s="129"/>
      <c r="AH81" s="50">
        <v>0</v>
      </c>
    </row>
    <row r="82" s="50" customFormat="1" ht="18.75" hidden="1" customHeight="1">
      <c r="A82" s="143"/>
      <c r="B82" s="143"/>
      <c r="C82" s="409" t="s">
        <v>1145</v>
      </c>
      <c r="D82" s="1037"/>
      <c r="E82" s="359"/>
      <c r="F82" s="79"/>
      <c r="G82" s="961"/>
      <c r="H82" s="758"/>
      <c r="I82" s="177" t="s">
        <v>1146</v>
      </c>
      <c r="J82" s="235"/>
      <c r="K82" s="758"/>
      <c r="L82" s="889"/>
      <c r="M82" s="287"/>
      <c r="N82" s="838"/>
      <c r="O82" s="129"/>
      <c r="P82" s="129"/>
      <c r="AH82" s="50">
        <v>0</v>
      </c>
    </row>
    <row r="83" s="50" customFormat="1" ht="1.05" customHeight="1">
      <c r="A83" s="143"/>
      <c r="B83" s="143"/>
      <c r="C83" s="409" t="s">
        <v>1151</v>
      </c>
      <c r="D83" s="1037"/>
      <c r="E83" s="359"/>
      <c r="F83" s="79"/>
      <c r="G83" s="1036"/>
      <c r="H83" s="758"/>
      <c r="I83" s="177"/>
      <c r="J83" s="235"/>
      <c r="K83" s="758"/>
      <c r="L83" s="889"/>
      <c r="M83" s="287"/>
      <c r="N83" s="838"/>
      <c r="O83" s="129"/>
      <c r="P83" s="129"/>
      <c r="AH83" s="50">
        <v>1</v>
      </c>
    </row>
    <row r="84" ht="19.949999999999999" customHeight="1">
      <c r="A84" s="143"/>
      <c r="B84" s="143"/>
      <c r="D84" s="553"/>
      <c r="E84" s="359" t="s">
        <v>110</v>
      </c>
      <c r="F84" s="8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887"/>
      <c r="H84" s="887"/>
      <c r="I84" s="887"/>
      <c r="J84" s="887"/>
      <c r="K84" s="887"/>
      <c r="L84" s="887"/>
      <c r="M84" s="879"/>
      <c r="N84" s="838"/>
      <c r="AH84" s="50">
        <v>19</v>
      </c>
    </row>
    <row r="85" ht="52.5" customHeight="1">
      <c r="A85" s="143"/>
      <c r="B85" s="143"/>
      <c r="D85" s="553"/>
      <c r="E85" s="1040"/>
      <c r="F85" s="246" t="s">
        <v>308</v>
      </c>
      <c r="G85" s="246" t="s">
        <v>308</v>
      </c>
      <c r="H85" s="429" t="s">
        <v>308</v>
      </c>
      <c r="I85" s="431"/>
      <c r="J85" s="246" t="s">
        <v>308</v>
      </c>
      <c r="K85" s="246" t="s">
        <v>308</v>
      </c>
      <c r="L85" s="1041" t="s">
        <v>1153</v>
      </c>
      <c r="M85" s="499" t="s">
        <v>1154</v>
      </c>
      <c r="N85" s="838"/>
      <c r="AH85" s="50">
        <v>34</v>
      </c>
    </row>
    <row r="86" ht="19.949999999999999" customHeight="1">
      <c r="A86" s="143"/>
      <c r="B86" s="143"/>
      <c r="D86" s="553"/>
      <c r="E86" s="359" t="s">
        <v>90</v>
      </c>
      <c r="F86" s="887" t="s">
        <v>1155</v>
      </c>
      <c r="G86" s="887"/>
      <c r="H86" s="887"/>
      <c r="I86" s="887"/>
      <c r="J86" s="887"/>
      <c r="K86" s="887"/>
      <c r="L86" s="887"/>
      <c r="M86" s="879"/>
      <c r="N86" s="838"/>
      <c r="AH86" s="50">
        <v>19</v>
      </c>
    </row>
    <row r="87" s="50" customFormat="1" ht="60.75" hidden="1" customHeight="1">
      <c r="A87" s="143" t="s">
        <v>154</v>
      </c>
      <c r="B87" s="143" t="s">
        <v>155</v>
      </c>
      <c r="C87" s="409"/>
      <c r="D87" s="1037"/>
      <c r="E87" s="359"/>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61" t="str">
        <f>INDEX(PT_DIFFERENTIATION_NTAR,MATCH(B87,PT_DIFFERENTIATION_NTAR_ID,0))</f>
        <v/>
      </c>
      <c r="H87" s="431"/>
      <c r="I87" s="1027"/>
      <c r="J87" s="1028"/>
      <c r="K87" s="447"/>
      <c r="L87" s="431" t="s">
        <v>308</v>
      </c>
      <c r="M87"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838"/>
      <c r="O87" s="129"/>
      <c r="P87" s="129"/>
      <c r="AH87" s="50">
        <v>0</v>
      </c>
    </row>
    <row r="88" s="50" customFormat="1" ht="18.75" hidden="1" customHeight="1">
      <c r="A88" s="143"/>
      <c r="B88" s="143"/>
      <c r="C88" s="409" t="s">
        <v>1147</v>
      </c>
      <c r="D88" s="1037"/>
      <c r="E88" s="359"/>
      <c r="F88" s="79"/>
      <c r="G88" s="961"/>
      <c r="H88" s="758"/>
      <c r="I88" s="177" t="s">
        <v>1146</v>
      </c>
      <c r="J88" s="235"/>
      <c r="K88" s="758"/>
      <c r="L88" s="889"/>
      <c r="M88" s="287"/>
      <c r="N88" s="838"/>
      <c r="O88" s="129"/>
      <c r="P88" s="129"/>
      <c r="AH88" s="50">
        <v>0</v>
      </c>
    </row>
    <row r="89" s="50" customFormat="1" ht="0.75" hidden="1" customHeight="1">
      <c r="A89" s="143"/>
      <c r="B89" s="143"/>
      <c r="C89" s="409" t="s">
        <v>1156</v>
      </c>
      <c r="D89" s="1037"/>
      <c r="E89" s="359"/>
      <c r="F89" s="79"/>
      <c r="G89" s="1036"/>
      <c r="H89" s="758"/>
      <c r="I89" s="177"/>
      <c r="J89" s="235"/>
      <c r="K89" s="758"/>
      <c r="L89" s="889"/>
      <c r="M89" s="287"/>
      <c r="N89" s="838"/>
      <c r="O89" s="129"/>
      <c r="P89" s="129"/>
      <c r="AH89" s="50">
        <v>0</v>
      </c>
    </row>
    <row r="90" s="50" customFormat="1" ht="45" hidden="1" customHeight="1">
      <c r="A90" s="143" t="s">
        <v>159</v>
      </c>
      <c r="B90" s="143" t="s">
        <v>160</v>
      </c>
      <c r="C90" s="409"/>
      <c r="D90" s="1037"/>
      <c r="E90" s="359"/>
      <c r="F90" s="79" t="str">
        <f>INDEX(PT_DIFFERENTIATION_VTAR,MATCH(A90,PT_DIFFERENTIATION_VTAR_ID,0))</f>
        <v/>
      </c>
      <c r="G90" s="961" t="str">
        <f>INDEX(PT_DIFFERENTIATION_NTAR,MATCH(B90,PT_DIFFERENTIATION_NTAR_ID,0))</f>
        <v/>
      </c>
      <c r="H90" s="431"/>
      <c r="I90" s="1027"/>
      <c r="J90" s="1028"/>
      <c r="K90" s="447"/>
      <c r="L90" s="431" t="s">
        <v>308</v>
      </c>
      <c r="M90" s="289"/>
      <c r="N90" s="838"/>
      <c r="O90" s="129"/>
      <c r="P90" s="129"/>
      <c r="AH90" s="50">
        <v>0</v>
      </c>
    </row>
    <row r="91" s="50" customFormat="1" ht="18.75" hidden="1" customHeight="1">
      <c r="A91" s="143"/>
      <c r="B91" s="143"/>
      <c r="C91" s="409" t="s">
        <v>1147</v>
      </c>
      <c r="D91" s="1037"/>
      <c r="E91" s="359"/>
      <c r="F91" s="79"/>
      <c r="G91" s="961"/>
      <c r="H91" s="758"/>
      <c r="I91" s="177" t="s">
        <v>1146</v>
      </c>
      <c r="J91" s="235"/>
      <c r="K91" s="758"/>
      <c r="L91" s="889"/>
      <c r="M91" s="287"/>
      <c r="N91" s="838"/>
      <c r="O91" s="129"/>
      <c r="P91" s="129"/>
      <c r="AH91" s="50">
        <v>0</v>
      </c>
    </row>
    <row r="92" s="50" customFormat="1" ht="0.75" hidden="1" customHeight="1">
      <c r="A92" s="143"/>
      <c r="B92" s="143"/>
      <c r="C92" s="409" t="s">
        <v>1156</v>
      </c>
      <c r="D92" s="1037"/>
      <c r="E92" s="359"/>
      <c r="F92" s="79"/>
      <c r="G92" s="1036"/>
      <c r="H92" s="758"/>
      <c r="I92" s="177"/>
      <c r="J92" s="235"/>
      <c r="K92" s="758"/>
      <c r="L92" s="889"/>
      <c r="M92" s="1023"/>
      <c r="N92" s="838"/>
      <c r="O92" s="129"/>
      <c r="P92" s="129"/>
      <c r="AH92" s="50">
        <v>0</v>
      </c>
    </row>
    <row r="93" s="50" customFormat="1" ht="45" hidden="1" customHeight="1">
      <c r="A93" s="143" t="s">
        <v>166</v>
      </c>
      <c r="B93" s="143" t="s">
        <v>167</v>
      </c>
      <c r="C93" s="409"/>
      <c r="D93" s="1037"/>
      <c r="E93" s="359"/>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61" t="str">
        <f>INDEX(PT_DIFFERENTIATION_NTAR,MATCH(B93,PT_DIFFERENTIATION_NTAR_ID,0))</f>
        <v/>
      </c>
      <c r="H93" s="431"/>
      <c r="I93" s="1027"/>
      <c r="J93" s="1028"/>
      <c r="K93" s="447"/>
      <c r="L93" s="431" t="s">
        <v>308</v>
      </c>
      <c r="M93" s="1023"/>
      <c r="N93" s="838"/>
      <c r="O93" s="129"/>
      <c r="P93" s="129"/>
      <c r="AH93" s="50">
        <v>0</v>
      </c>
    </row>
    <row r="94" s="50" customFormat="1" ht="18.75" hidden="1" customHeight="1">
      <c r="A94" s="143"/>
      <c r="B94" s="143"/>
      <c r="C94" s="409" t="s">
        <v>1147</v>
      </c>
      <c r="D94" s="1037"/>
      <c r="E94" s="359"/>
      <c r="F94" s="79"/>
      <c r="G94" s="961"/>
      <c r="H94" s="758"/>
      <c r="I94" s="177" t="s">
        <v>1146</v>
      </c>
      <c r="J94" s="235"/>
      <c r="K94" s="758"/>
      <c r="L94" s="889"/>
      <c r="M94" s="1023"/>
      <c r="N94" s="838"/>
      <c r="O94" s="129"/>
      <c r="P94" s="129"/>
      <c r="AH94" s="50">
        <v>0</v>
      </c>
    </row>
    <row r="95" s="50" customFormat="1" ht="0.75" hidden="1" customHeight="1">
      <c r="A95" s="143"/>
      <c r="B95" s="143"/>
      <c r="C95" s="409" t="s">
        <v>1156</v>
      </c>
      <c r="D95" s="1037"/>
      <c r="E95" s="359"/>
      <c r="F95" s="79"/>
      <c r="G95" s="1036"/>
      <c r="H95" s="758"/>
      <c r="I95" s="177"/>
      <c r="J95" s="235"/>
      <c r="K95" s="758"/>
      <c r="L95" s="889"/>
      <c r="M95" s="1023"/>
      <c r="N95" s="838"/>
      <c r="O95" s="129"/>
      <c r="P95" s="129"/>
      <c r="AH95" s="50">
        <v>0</v>
      </c>
    </row>
    <row r="96" s="50" customFormat="1" ht="45" hidden="1" customHeight="1">
      <c r="A96" s="143" t="s">
        <v>172</v>
      </c>
      <c r="B96" s="143" t="s">
        <v>173</v>
      </c>
      <c r="C96" s="409"/>
      <c r="D96" s="1037"/>
      <c r="E96" s="359"/>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61" t="str">
        <f>INDEX(PT_DIFFERENTIATION_NTAR,MATCH(B96,PT_DIFFERENTIATION_NTAR_ID,0))</f>
        <v/>
      </c>
      <c r="H96" s="431"/>
      <c r="I96" s="1027"/>
      <c r="J96" s="1028"/>
      <c r="K96" s="447"/>
      <c r="L96" s="431" t="s">
        <v>308</v>
      </c>
      <c r="M96" s="1023"/>
      <c r="N96" s="838"/>
      <c r="O96" s="129"/>
      <c r="P96" s="129"/>
      <c r="AH96" s="50">
        <v>0</v>
      </c>
    </row>
    <row r="97" s="50" customFormat="1" ht="18.75" hidden="1" customHeight="1">
      <c r="A97" s="143"/>
      <c r="B97" s="143"/>
      <c r="C97" s="409" t="s">
        <v>1147</v>
      </c>
      <c r="D97" s="1037"/>
      <c r="E97" s="359"/>
      <c r="F97" s="79"/>
      <c r="G97" s="961"/>
      <c r="H97" s="758"/>
      <c r="I97" s="177" t="s">
        <v>1146</v>
      </c>
      <c r="J97" s="235"/>
      <c r="K97" s="758"/>
      <c r="L97" s="889"/>
      <c r="M97" s="1023"/>
      <c r="N97" s="838"/>
      <c r="O97" s="129"/>
      <c r="P97" s="129"/>
      <c r="AH97" s="50">
        <v>0</v>
      </c>
    </row>
    <row r="98" s="50" customFormat="1" ht="0.75" hidden="1" customHeight="1">
      <c r="A98" s="143"/>
      <c r="B98" s="143"/>
      <c r="C98" s="409" t="s">
        <v>1156</v>
      </c>
      <c r="D98" s="1037"/>
      <c r="E98" s="359"/>
      <c r="F98" s="79"/>
      <c r="G98" s="1036"/>
      <c r="H98" s="758"/>
      <c r="I98" s="177"/>
      <c r="J98" s="235"/>
      <c r="K98" s="758"/>
      <c r="L98" s="889"/>
      <c r="M98" s="1023"/>
      <c r="N98" s="838"/>
      <c r="O98" s="129"/>
      <c r="P98" s="129"/>
      <c r="AH98" s="50">
        <v>0</v>
      </c>
    </row>
    <row r="99" s="50" customFormat="1" ht="18.75" hidden="1" customHeight="1">
      <c r="A99" s="143" t="s">
        <v>178</v>
      </c>
      <c r="B99" s="143" t="s">
        <v>179</v>
      </c>
      <c r="C99" s="409"/>
      <c r="D99" s="1037"/>
      <c r="E99" s="359"/>
      <c r="F99" s="79" t="str">
        <f>INDEX(PT_DIFFERENTIATION_VTAR,MATCH(A99,PT_DIFFERENTIATION_VTAR_ID,0))</f>
        <v xml:space="preserve">Тарифы на услуги по передаче тепловой энергии</v>
      </c>
      <c r="G99" s="961" t="str">
        <f>INDEX(PT_DIFFERENTIATION_NTAR,MATCH(B99,PT_DIFFERENTIATION_NTAR_ID,0))</f>
        <v/>
      </c>
      <c r="H99" s="431"/>
      <c r="I99" s="1027"/>
      <c r="J99" s="1028"/>
      <c r="K99" s="447"/>
      <c r="L99" s="431" t="s">
        <v>308</v>
      </c>
      <c r="M99" s="1023"/>
      <c r="N99" s="838"/>
      <c r="O99" s="129"/>
      <c r="P99" s="129"/>
      <c r="AH99" s="50">
        <v>0</v>
      </c>
    </row>
    <row r="100" s="50" customFormat="1" ht="18.75" hidden="1" customHeight="1">
      <c r="A100" s="143"/>
      <c r="B100" s="143"/>
      <c r="C100" s="409" t="s">
        <v>1147</v>
      </c>
      <c r="D100" s="1037"/>
      <c r="E100" s="359"/>
      <c r="F100" s="79"/>
      <c r="G100" s="961"/>
      <c r="H100" s="758"/>
      <c r="I100" s="177" t="s">
        <v>1146</v>
      </c>
      <c r="J100" s="235"/>
      <c r="K100" s="758"/>
      <c r="L100" s="889"/>
      <c r="M100" s="1023"/>
      <c r="N100" s="838"/>
      <c r="O100" s="129"/>
      <c r="P100" s="129"/>
      <c r="AH100" s="50">
        <v>0</v>
      </c>
    </row>
    <row r="101" s="50" customFormat="1" ht="0.75" hidden="1" customHeight="1">
      <c r="A101" s="143"/>
      <c r="B101" s="143"/>
      <c r="C101" s="409" t="s">
        <v>1156</v>
      </c>
      <c r="D101" s="1037"/>
      <c r="E101" s="359"/>
      <c r="F101" s="79"/>
      <c r="G101" s="1036"/>
      <c r="H101" s="758"/>
      <c r="I101" s="177"/>
      <c r="J101" s="235"/>
      <c r="K101" s="758"/>
      <c r="L101" s="889"/>
      <c r="M101" s="1023"/>
      <c r="N101" s="838"/>
      <c r="O101" s="129"/>
      <c r="P101" s="129"/>
      <c r="AH101" s="50">
        <v>0</v>
      </c>
    </row>
    <row r="102" s="50" customFormat="1" ht="18.75" hidden="1" customHeight="1">
      <c r="A102" s="143" t="s">
        <v>184</v>
      </c>
      <c r="B102" s="143" t="s">
        <v>185</v>
      </c>
      <c r="C102" s="409"/>
      <c r="D102" s="1037"/>
      <c r="E102" s="359"/>
      <c r="F102" s="79" t="str">
        <f>INDEX(PT_DIFFERENTIATION_VTAR,MATCH(A102,PT_DIFFERENTIATION_VTAR_ID,0))</f>
        <v xml:space="preserve">Тарифы на услуги по передаче теплоносителя</v>
      </c>
      <c r="G102" s="961" t="str">
        <f>INDEX(PT_DIFFERENTIATION_NTAR,MATCH(B102,PT_DIFFERENTIATION_NTAR_ID,0))</f>
        <v/>
      </c>
      <c r="H102" s="431"/>
      <c r="I102" s="1027"/>
      <c r="J102" s="1028"/>
      <c r="K102" s="447"/>
      <c r="L102" s="431" t="s">
        <v>308</v>
      </c>
      <c r="M102" s="1023"/>
      <c r="N102" s="838"/>
      <c r="O102" s="129"/>
      <c r="P102" s="129"/>
      <c r="AH102" s="50">
        <v>0</v>
      </c>
    </row>
    <row r="103" s="50" customFormat="1" ht="18.75" hidden="1" customHeight="1">
      <c r="A103" s="143"/>
      <c r="B103" s="143"/>
      <c r="C103" s="409" t="s">
        <v>1147</v>
      </c>
      <c r="D103" s="1037"/>
      <c r="E103" s="359"/>
      <c r="F103" s="79"/>
      <c r="G103" s="961"/>
      <c r="H103" s="758"/>
      <c r="I103" s="177" t="s">
        <v>1146</v>
      </c>
      <c r="J103" s="235"/>
      <c r="K103" s="758"/>
      <c r="L103" s="889"/>
      <c r="M103" s="1023"/>
      <c r="N103" s="838"/>
      <c r="O103" s="129"/>
      <c r="P103" s="129"/>
      <c r="AH103" s="50">
        <v>0</v>
      </c>
    </row>
    <row r="104" s="50" customFormat="1" ht="0.75" hidden="1" customHeight="1">
      <c r="A104" s="143"/>
      <c r="B104" s="143"/>
      <c r="C104" s="409" t="s">
        <v>1156</v>
      </c>
      <c r="D104" s="1037"/>
      <c r="E104" s="359"/>
      <c r="F104" s="79"/>
      <c r="G104" s="1036"/>
      <c r="H104" s="758"/>
      <c r="I104" s="177"/>
      <c r="J104" s="235"/>
      <c r="K104" s="758"/>
      <c r="L104" s="889"/>
      <c r="M104" s="1023"/>
      <c r="N104" s="838"/>
      <c r="O104" s="129"/>
      <c r="P104" s="129"/>
      <c r="AH104" s="50">
        <v>0</v>
      </c>
    </row>
    <row r="105" s="50" customFormat="1" ht="18.75" hidden="1" customHeight="1">
      <c r="A105" s="143" t="s">
        <v>190</v>
      </c>
      <c r="B105" s="143" t="s">
        <v>191</v>
      </c>
      <c r="C105" s="409"/>
      <c r="D105" s="1037"/>
      <c r="E105" s="359"/>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61" t="str">
        <f>INDEX(PT_DIFFERENTIATION_NTAR,MATCH(B105,PT_DIFFERENTIATION_NTAR_ID,0))</f>
        <v/>
      </c>
      <c r="H105" s="431"/>
      <c r="I105" s="1027"/>
      <c r="J105" s="1028"/>
      <c r="K105" s="447"/>
      <c r="L105" s="431" t="s">
        <v>308</v>
      </c>
      <c r="M105" s="1023"/>
      <c r="N105" s="838"/>
      <c r="O105" s="129"/>
      <c r="P105" s="129"/>
      <c r="AH105" s="50">
        <v>0</v>
      </c>
    </row>
    <row r="106" s="50" customFormat="1" ht="18.75" hidden="1" customHeight="1">
      <c r="A106" s="143"/>
      <c r="B106" s="143"/>
      <c r="C106" s="409" t="s">
        <v>1147</v>
      </c>
      <c r="D106" s="1037"/>
      <c r="E106" s="359"/>
      <c r="F106" s="79"/>
      <c r="G106" s="961"/>
      <c r="H106" s="758"/>
      <c r="I106" s="177" t="s">
        <v>1146</v>
      </c>
      <c r="J106" s="235"/>
      <c r="K106" s="758"/>
      <c r="L106" s="889"/>
      <c r="M106" s="1023"/>
      <c r="N106" s="838"/>
      <c r="O106" s="129"/>
      <c r="P106" s="129"/>
      <c r="AH106" s="50">
        <v>0</v>
      </c>
    </row>
    <row r="107" s="50" customFormat="1" ht="0.75" hidden="1" customHeight="1">
      <c r="A107" s="143"/>
      <c r="B107" s="143"/>
      <c r="C107" s="409" t="s">
        <v>1156</v>
      </c>
      <c r="D107" s="1037"/>
      <c r="E107" s="359"/>
      <c r="F107" s="79"/>
      <c r="G107" s="1036"/>
      <c r="H107" s="758"/>
      <c r="I107" s="177"/>
      <c r="J107" s="235"/>
      <c r="K107" s="758"/>
      <c r="L107" s="889"/>
      <c r="M107" s="1023"/>
      <c r="N107" s="838"/>
      <c r="O107" s="129"/>
      <c r="P107" s="129"/>
      <c r="AH107" s="50">
        <v>0</v>
      </c>
    </row>
    <row r="108" s="50" customFormat="1" ht="18.75" hidden="1" customHeight="1">
      <c r="A108" s="143" t="s">
        <v>196</v>
      </c>
      <c r="B108" s="143" t="s">
        <v>197</v>
      </c>
      <c r="C108" s="409"/>
      <c r="D108" s="1037"/>
      <c r="E108" s="359"/>
      <c r="F108" s="79" t="str">
        <f>INDEX(PT_DIFFERENTIATION_VTAR,MATCH(A108,PT_DIFFERENTIATION_VTAR_ID,0))</f>
        <v xml:space="preserve">Плата за подключение (технологическое присоединение) к системе теплоснабжения</v>
      </c>
      <c r="G108" s="961" t="str">
        <f>INDEX(PT_DIFFERENTIATION_NTAR,MATCH(B108,PT_DIFFERENTIATION_NTAR_ID,0))</f>
        <v/>
      </c>
      <c r="H108" s="431"/>
      <c r="I108" s="1027"/>
      <c r="J108" s="1028"/>
      <c r="K108" s="447"/>
      <c r="L108" s="431" t="s">
        <v>308</v>
      </c>
      <c r="M108" s="1023"/>
      <c r="N108" s="838"/>
      <c r="O108" s="129"/>
      <c r="P108" s="129"/>
      <c r="AH108" s="50">
        <v>0</v>
      </c>
    </row>
    <row r="109" s="50" customFormat="1" ht="18.75" hidden="1" customHeight="1">
      <c r="A109" s="143"/>
      <c r="B109" s="143"/>
      <c r="C109" s="409" t="s">
        <v>1147</v>
      </c>
      <c r="D109" s="1037"/>
      <c r="E109" s="359"/>
      <c r="F109" s="79"/>
      <c r="G109" s="961"/>
      <c r="H109" s="758"/>
      <c r="I109" s="177" t="s">
        <v>1146</v>
      </c>
      <c r="J109" s="235"/>
      <c r="K109" s="758"/>
      <c r="L109" s="889"/>
      <c r="M109" s="1023"/>
      <c r="N109" s="838"/>
      <c r="O109" s="129"/>
      <c r="P109" s="129"/>
      <c r="AH109" s="50">
        <v>0</v>
      </c>
    </row>
    <row r="110" s="50" customFormat="1" ht="0.75" hidden="1" customHeight="1">
      <c r="A110" s="143"/>
      <c r="B110" s="143"/>
      <c r="C110" s="409" t="s">
        <v>1156</v>
      </c>
      <c r="D110" s="1037"/>
      <c r="E110" s="359"/>
      <c r="F110" s="79"/>
      <c r="G110" s="1036"/>
      <c r="H110" s="758"/>
      <c r="I110" s="177"/>
      <c r="J110" s="235"/>
      <c r="K110" s="758"/>
      <c r="L110" s="889"/>
      <c r="M110" s="1023"/>
      <c r="N110" s="838"/>
      <c r="O110" s="129"/>
      <c r="P110" s="129"/>
      <c r="AH110" s="50">
        <v>0</v>
      </c>
    </row>
    <row r="111" s="50" customFormat="1" ht="18.75" hidden="1" customHeight="1">
      <c r="A111" s="143" t="s">
        <v>202</v>
      </c>
      <c r="B111" s="143" t="s">
        <v>203</v>
      </c>
      <c r="C111" s="409"/>
      <c r="D111" s="1037"/>
      <c r="E111" s="359"/>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61" t="str">
        <f>INDEX(PT_DIFFERENTIATION_NTAR,MATCH(B111,PT_DIFFERENTIATION_NTAR_ID,0))</f>
        <v/>
      </c>
      <c r="H111" s="431"/>
      <c r="I111" s="1027"/>
      <c r="J111" s="1028"/>
      <c r="K111" s="447"/>
      <c r="L111" s="431" t="s">
        <v>308</v>
      </c>
      <c r="M111" s="1023"/>
      <c r="N111" s="838"/>
      <c r="O111" s="129"/>
      <c r="P111" s="129"/>
      <c r="AH111" s="50">
        <v>0</v>
      </c>
    </row>
    <row r="112" s="50" customFormat="1" ht="18.75" hidden="1" customHeight="1">
      <c r="A112" s="143"/>
      <c r="B112" s="143"/>
      <c r="C112" s="409" t="s">
        <v>1147</v>
      </c>
      <c r="D112" s="1037"/>
      <c r="E112" s="359"/>
      <c r="F112" s="79"/>
      <c r="G112" s="961"/>
      <c r="H112" s="758"/>
      <c r="I112" s="177" t="s">
        <v>1146</v>
      </c>
      <c r="J112" s="235"/>
      <c r="K112" s="758"/>
      <c r="L112" s="889"/>
      <c r="M112" s="1023"/>
      <c r="N112" s="838"/>
      <c r="O112" s="129"/>
      <c r="P112" s="129"/>
      <c r="AH112" s="50">
        <v>0</v>
      </c>
    </row>
    <row r="113" s="50" customFormat="1" ht="0.75" hidden="1" customHeight="1">
      <c r="A113" s="143"/>
      <c r="B113" s="143"/>
      <c r="C113" s="409" t="s">
        <v>1156</v>
      </c>
      <c r="D113" s="1037"/>
      <c r="E113" s="359"/>
      <c r="F113" s="79"/>
      <c r="G113" s="1036"/>
      <c r="H113" s="758"/>
      <c r="I113" s="177"/>
      <c r="J113" s="235"/>
      <c r="K113" s="758"/>
      <c r="L113" s="889"/>
      <c r="M113" s="1023"/>
      <c r="N113" s="838"/>
      <c r="O113" s="129"/>
      <c r="P113" s="129"/>
      <c r="AH113" s="50">
        <v>0</v>
      </c>
    </row>
    <row r="114" s="50" customFormat="1" ht="18.75" hidden="1" customHeight="1">
      <c r="A114" s="143" t="s">
        <v>222</v>
      </c>
      <c r="B114" s="143" t="s">
        <v>223</v>
      </c>
      <c r="C114" s="409"/>
      <c r="D114" s="1037"/>
      <c r="E114" s="359"/>
      <c r="F114" s="79" t="str">
        <f>INDEX(PT_DIFFERENTIATION_VTAR,MATCH(A114,PT_DIFFERENTIATION_VTAR_ID,0))</f>
        <v xml:space="preserve">Тариф на питьевую воду (питьевое водоснабжение)</v>
      </c>
      <c r="G114" s="961" t="str">
        <f>INDEX(PT_DIFFERENTIATION_NTAR,MATCH(B114,PT_DIFFERENTIATION_NTAR_ID,0))</f>
        <v/>
      </c>
      <c r="H114" s="431"/>
      <c r="I114" s="1027"/>
      <c r="J114" s="1028"/>
      <c r="K114" s="447"/>
      <c r="L114" s="431" t="s">
        <v>308</v>
      </c>
      <c r="M114" s="1023"/>
      <c r="N114" s="838"/>
      <c r="O114" s="129"/>
      <c r="P114" s="129"/>
      <c r="AH114" s="50">
        <v>0</v>
      </c>
    </row>
    <row r="115" s="50" customFormat="1" ht="18.75" hidden="1" customHeight="1">
      <c r="A115" s="143"/>
      <c r="B115" s="143"/>
      <c r="C115" s="409" t="s">
        <v>1147</v>
      </c>
      <c r="D115" s="1037"/>
      <c r="E115" s="359"/>
      <c r="F115" s="79"/>
      <c r="G115" s="961"/>
      <c r="H115" s="758"/>
      <c r="I115" s="177" t="s">
        <v>1146</v>
      </c>
      <c r="J115" s="235"/>
      <c r="K115" s="758"/>
      <c r="L115" s="889"/>
      <c r="M115" s="1023"/>
      <c r="N115" s="838"/>
      <c r="O115" s="129"/>
      <c r="P115" s="129"/>
      <c r="AH115" s="50">
        <v>0</v>
      </c>
    </row>
    <row r="116" s="50" customFormat="1" ht="0.75" hidden="1" customHeight="1">
      <c r="A116" s="143"/>
      <c r="B116" s="143"/>
      <c r="C116" s="409" t="s">
        <v>1156</v>
      </c>
      <c r="D116" s="1037"/>
      <c r="E116" s="359"/>
      <c r="F116" s="79"/>
      <c r="G116" s="1036"/>
      <c r="H116" s="758"/>
      <c r="I116" s="177"/>
      <c r="J116" s="235"/>
      <c r="K116" s="758"/>
      <c r="L116" s="889"/>
      <c r="M116" s="1023"/>
      <c r="N116" s="838"/>
      <c r="O116" s="129"/>
      <c r="P116" s="129"/>
      <c r="AH116" s="50">
        <v>0</v>
      </c>
    </row>
    <row r="117" s="50" customFormat="1" ht="18.75" hidden="1" customHeight="1">
      <c r="A117" s="143" t="s">
        <v>227</v>
      </c>
      <c r="B117" s="143" t="s">
        <v>228</v>
      </c>
      <c r="C117" s="409"/>
      <c r="D117" s="1037"/>
      <c r="E117" s="359"/>
      <c r="F117" s="79" t="str">
        <f>INDEX(PT_DIFFERENTIATION_VTAR,MATCH(A117,PT_DIFFERENTIATION_VTAR_ID,0))</f>
        <v xml:space="preserve">Тариф на техническую воду</v>
      </c>
      <c r="G117" s="961" t="str">
        <f>INDEX(PT_DIFFERENTIATION_NTAR,MATCH(B117,PT_DIFFERENTIATION_NTAR_ID,0))</f>
        <v/>
      </c>
      <c r="H117" s="431"/>
      <c r="I117" s="1027"/>
      <c r="J117" s="1028"/>
      <c r="K117" s="447"/>
      <c r="L117" s="431" t="s">
        <v>308</v>
      </c>
      <c r="M117" s="1023"/>
      <c r="N117" s="838"/>
      <c r="O117" s="129"/>
      <c r="P117" s="129"/>
      <c r="AH117" s="50">
        <v>0</v>
      </c>
    </row>
    <row r="118" s="50" customFormat="1" ht="18.75" hidden="1" customHeight="1">
      <c r="A118" s="143"/>
      <c r="B118" s="143"/>
      <c r="C118" s="409" t="s">
        <v>1147</v>
      </c>
      <c r="D118" s="1037"/>
      <c r="E118" s="359"/>
      <c r="F118" s="79"/>
      <c r="G118" s="961"/>
      <c r="H118" s="758"/>
      <c r="I118" s="177" t="s">
        <v>1146</v>
      </c>
      <c r="J118" s="235"/>
      <c r="K118" s="758"/>
      <c r="L118" s="889"/>
      <c r="M118" s="1023"/>
      <c r="N118" s="838"/>
      <c r="O118" s="129"/>
      <c r="P118" s="129"/>
      <c r="AH118" s="50">
        <v>0</v>
      </c>
    </row>
    <row r="119" s="50" customFormat="1" ht="0.75" hidden="1" customHeight="1">
      <c r="A119" s="143"/>
      <c r="B119" s="143"/>
      <c r="C119" s="409" t="s">
        <v>1156</v>
      </c>
      <c r="D119" s="1037"/>
      <c r="E119" s="359"/>
      <c r="F119" s="79"/>
      <c r="G119" s="1036"/>
      <c r="H119" s="758"/>
      <c r="I119" s="177"/>
      <c r="J119" s="235"/>
      <c r="K119" s="758"/>
      <c r="L119" s="889"/>
      <c r="M119" s="1023"/>
      <c r="N119" s="838"/>
      <c r="O119" s="129"/>
      <c r="P119" s="129"/>
      <c r="AH119" s="50">
        <v>0</v>
      </c>
    </row>
    <row r="120" s="50" customFormat="1" ht="18.75" customHeight="1">
      <c r="A120" s="143" t="s">
        <v>234</v>
      </c>
      <c r="B120" s="143" t="s">
        <v>235</v>
      </c>
      <c r="C120" s="409"/>
      <c r="D120" s="1037"/>
      <c r="E120" s="359"/>
      <c r="F120" s="79" t="str">
        <f>INDEX(PT_DIFFERENTIATION_VTAR,MATCH(A120,PT_DIFFERENTIATION_VTAR_ID,0))</f>
        <v xml:space="preserve">Тариф на транспортировку воды</v>
      </c>
      <c r="G120" s="961" t="str">
        <f>INDEX(PT_DIFFERENTIATION_NTAR,MATCH(B120,PT_DIFFERENTIATION_NTAR_ID,0))</f>
        <v xml:space="preserve">Тариф на транспортировку питьевой воды</v>
      </c>
      <c r="H120" s="431"/>
      <c r="I120" s="1027">
        <v>45658</v>
      </c>
      <c r="J120" s="1028">
        <v>46022</v>
      </c>
      <c r="K120" s="447">
        <f>330.54984+K303</f>
        <v>724.85263999999995</v>
      </c>
      <c r="L120" s="431" t="s">
        <v>308</v>
      </c>
      <c r="M120" s="1023"/>
      <c r="N120" s="838"/>
      <c r="O120" s="129"/>
      <c r="P120" s="129"/>
      <c r="AH120" s="50">
        <v>0</v>
      </c>
    </row>
    <row r="121" s="50" customFormat="1" ht="18.75" customHeight="1">
      <c r="A121" s="143"/>
      <c r="B121" s="143"/>
      <c r="C121" s="409" t="s">
        <v>1147</v>
      </c>
      <c r="D121" s="1037"/>
      <c r="E121" s="359"/>
      <c r="F121" s="79"/>
      <c r="G121" s="961"/>
      <c r="H121" s="758"/>
      <c r="I121" s="177" t="s">
        <v>1146</v>
      </c>
      <c r="J121" s="235"/>
      <c r="K121" s="758"/>
      <c r="L121" s="889"/>
      <c r="M121" s="1023"/>
      <c r="N121" s="838"/>
      <c r="O121" s="129"/>
      <c r="P121" s="129"/>
      <c r="AH121" s="50">
        <v>0</v>
      </c>
    </row>
    <row r="122" s="50" customFormat="1" ht="0.75" customHeight="1">
      <c r="A122" s="143"/>
      <c r="B122" s="143"/>
      <c r="C122" s="409" t="s">
        <v>1156</v>
      </c>
      <c r="D122" s="1037"/>
      <c r="E122" s="359"/>
      <c r="F122" s="79"/>
      <c r="G122" s="1036"/>
      <c r="H122" s="758"/>
      <c r="I122" s="177"/>
      <c r="J122" s="235"/>
      <c r="K122" s="758"/>
      <c r="L122" s="889"/>
      <c r="M122" s="1023"/>
      <c r="N122" s="838"/>
      <c r="O122" s="129"/>
      <c r="P122" s="129"/>
      <c r="AH122" s="50">
        <v>0</v>
      </c>
    </row>
    <row r="123" s="50" customFormat="1" ht="18.75" hidden="1" customHeight="1">
      <c r="A123" s="143" t="s">
        <v>242</v>
      </c>
      <c r="B123" s="143" t="s">
        <v>243</v>
      </c>
      <c r="C123" s="409"/>
      <c r="D123" s="1037"/>
      <c r="E123" s="359"/>
      <c r="F123" s="79" t="str">
        <f>INDEX(PT_DIFFERENTIATION_VTAR,MATCH(A123,PT_DIFFERENTIATION_VTAR_ID,0))</f>
        <v xml:space="preserve">Тариф на подвоз воды</v>
      </c>
      <c r="G123" s="961" t="str">
        <f>INDEX(PT_DIFFERENTIATION_NTAR,MATCH(B123,PT_DIFFERENTIATION_NTAR_ID,0))</f>
        <v/>
      </c>
      <c r="H123" s="431"/>
      <c r="I123" s="1027"/>
      <c r="J123" s="1028"/>
      <c r="K123" s="447"/>
      <c r="L123" s="431" t="s">
        <v>308</v>
      </c>
      <c r="M123" s="1023"/>
      <c r="N123" s="838"/>
      <c r="O123" s="129"/>
      <c r="P123" s="129"/>
      <c r="AH123" s="50">
        <v>0</v>
      </c>
    </row>
    <row r="124" s="50" customFormat="1" ht="18.75" hidden="1" customHeight="1">
      <c r="A124" s="143"/>
      <c r="B124" s="143"/>
      <c r="C124" s="409" t="s">
        <v>1147</v>
      </c>
      <c r="D124" s="1037"/>
      <c r="E124" s="359"/>
      <c r="F124" s="79"/>
      <c r="G124" s="961"/>
      <c r="H124" s="758"/>
      <c r="I124" s="177" t="s">
        <v>1146</v>
      </c>
      <c r="J124" s="235"/>
      <c r="K124" s="758"/>
      <c r="L124" s="889"/>
      <c r="M124" s="1023"/>
      <c r="N124" s="838"/>
      <c r="O124" s="129"/>
      <c r="P124" s="129"/>
      <c r="AH124" s="50">
        <v>0</v>
      </c>
    </row>
    <row r="125" s="50" customFormat="1" ht="0.75" hidden="1" customHeight="1">
      <c r="A125" s="143"/>
      <c r="B125" s="143"/>
      <c r="C125" s="409" t="s">
        <v>1156</v>
      </c>
      <c r="D125" s="1037"/>
      <c r="E125" s="359"/>
      <c r="F125" s="79"/>
      <c r="G125" s="1036"/>
      <c r="H125" s="758"/>
      <c r="I125" s="177"/>
      <c r="J125" s="235"/>
      <c r="K125" s="758"/>
      <c r="L125" s="889"/>
      <c r="M125" s="1023"/>
      <c r="N125" s="838"/>
      <c r="O125" s="129"/>
      <c r="P125" s="129"/>
      <c r="AH125" s="50">
        <v>0</v>
      </c>
    </row>
    <row r="126" s="50" customFormat="1" ht="18.75" hidden="1" customHeight="1">
      <c r="A126" s="143" t="s">
        <v>247</v>
      </c>
      <c r="B126" s="143" t="s">
        <v>248</v>
      </c>
      <c r="C126" s="409"/>
      <c r="D126" s="1037"/>
      <c r="E126" s="359"/>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61" t="str">
        <f>INDEX(PT_DIFFERENTIATION_NTAR,MATCH(B126,PT_DIFFERENTIATION_NTAR_ID,0))</f>
        <v/>
      </c>
      <c r="H126" s="431"/>
      <c r="I126" s="1027"/>
      <c r="J126" s="1028"/>
      <c r="K126" s="447"/>
      <c r="L126" s="431" t="s">
        <v>308</v>
      </c>
      <c r="M126" s="1023"/>
      <c r="N126" s="838"/>
      <c r="O126" s="129"/>
      <c r="P126" s="129"/>
      <c r="AH126" s="50">
        <v>0</v>
      </c>
    </row>
    <row r="127" s="50" customFormat="1" ht="18.75" hidden="1" customHeight="1">
      <c r="A127" s="143"/>
      <c r="B127" s="143"/>
      <c r="C127" s="409" t="s">
        <v>1147</v>
      </c>
      <c r="D127" s="1037"/>
      <c r="E127" s="359"/>
      <c r="F127" s="79"/>
      <c r="G127" s="961"/>
      <c r="H127" s="758"/>
      <c r="I127" s="177" t="s">
        <v>1146</v>
      </c>
      <c r="J127" s="235"/>
      <c r="K127" s="758"/>
      <c r="L127" s="889"/>
      <c r="M127" s="1023"/>
      <c r="N127" s="838"/>
      <c r="O127" s="129"/>
      <c r="P127" s="129"/>
      <c r="AH127" s="50">
        <v>0</v>
      </c>
    </row>
    <row r="128" s="50" customFormat="1" ht="0.75" hidden="1" customHeight="1">
      <c r="A128" s="143"/>
      <c r="B128" s="143"/>
      <c r="C128" s="409" t="s">
        <v>1156</v>
      </c>
      <c r="D128" s="1037"/>
      <c r="E128" s="359"/>
      <c r="F128" s="79"/>
      <c r="G128" s="1036"/>
      <c r="H128" s="758"/>
      <c r="I128" s="177"/>
      <c r="J128" s="235"/>
      <c r="K128" s="758"/>
      <c r="L128" s="889"/>
      <c r="M128" s="1023"/>
      <c r="N128" s="838"/>
      <c r="O128" s="129"/>
      <c r="P128" s="129"/>
      <c r="AH128" s="50">
        <v>0</v>
      </c>
    </row>
    <row r="129" s="50" customFormat="1" ht="18.75" hidden="1" customHeight="1">
      <c r="A129" s="143" t="s">
        <v>252</v>
      </c>
      <c r="B129" s="143" t="s">
        <v>253</v>
      </c>
      <c r="C129" s="409"/>
      <c r="D129" s="1037"/>
      <c r="E129" s="359"/>
      <c r="F129" s="79" t="str">
        <f>INDEX(PT_DIFFERENTIATION_VTAR,MATCH(A129,PT_DIFFERENTIATION_VTAR_ID,0))</f>
        <v xml:space="preserve">Тариф на горячую воду (горячее водоснабжение)</v>
      </c>
      <c r="G129" s="961" t="str">
        <f>INDEX(PT_DIFFERENTIATION_NTAR,MATCH(B129,PT_DIFFERENTIATION_NTAR_ID,0))</f>
        <v/>
      </c>
      <c r="H129" s="431"/>
      <c r="I129" s="1027"/>
      <c r="J129" s="1028"/>
      <c r="K129" s="447"/>
      <c r="L129" s="431" t="s">
        <v>308</v>
      </c>
      <c r="M129" s="1023"/>
      <c r="N129" s="838"/>
      <c r="O129" s="129"/>
      <c r="P129" s="129"/>
      <c r="AH129" s="50">
        <v>0</v>
      </c>
    </row>
    <row r="130" s="50" customFormat="1" ht="18.75" hidden="1" customHeight="1">
      <c r="A130" s="143"/>
      <c r="B130" s="143"/>
      <c r="C130" s="409" t="s">
        <v>1147</v>
      </c>
      <c r="D130" s="1037"/>
      <c r="E130" s="359"/>
      <c r="F130" s="79"/>
      <c r="G130" s="961"/>
      <c r="H130" s="758"/>
      <c r="I130" s="177" t="s">
        <v>1146</v>
      </c>
      <c r="J130" s="235"/>
      <c r="K130" s="758"/>
      <c r="L130" s="889"/>
      <c r="M130" s="1023"/>
      <c r="N130" s="838"/>
      <c r="O130" s="129"/>
      <c r="P130" s="129"/>
      <c r="AH130" s="50">
        <v>0</v>
      </c>
    </row>
    <row r="131" s="50" customFormat="1" ht="0.75" hidden="1" customHeight="1">
      <c r="A131" s="143"/>
      <c r="B131" s="143"/>
      <c r="C131" s="409" t="s">
        <v>1156</v>
      </c>
      <c r="D131" s="1037"/>
      <c r="E131" s="359"/>
      <c r="F131" s="79"/>
      <c r="G131" s="1036"/>
      <c r="H131" s="758"/>
      <c r="I131" s="177"/>
      <c r="J131" s="235"/>
      <c r="K131" s="758"/>
      <c r="L131" s="889"/>
      <c r="M131" s="1023"/>
      <c r="N131" s="838"/>
      <c r="O131" s="129"/>
      <c r="P131" s="129"/>
      <c r="AH131" s="50">
        <v>0</v>
      </c>
    </row>
    <row r="132" s="50" customFormat="1" ht="18.75" hidden="1" customHeight="1">
      <c r="A132" s="143" t="s">
        <v>257</v>
      </c>
      <c r="B132" s="143" t="s">
        <v>258</v>
      </c>
      <c r="C132" s="409"/>
      <c r="D132" s="1037"/>
      <c r="E132" s="359"/>
      <c r="F132" s="79" t="str">
        <f>INDEX(PT_DIFFERENTIATION_VTAR,MATCH(A132,PT_DIFFERENTIATION_VTAR_ID,0))</f>
        <v xml:space="preserve">Тариф на транспортировку горячей воды</v>
      </c>
      <c r="G132" s="961" t="str">
        <f>INDEX(PT_DIFFERENTIATION_NTAR,MATCH(B132,PT_DIFFERENTIATION_NTAR_ID,0))</f>
        <v/>
      </c>
      <c r="H132" s="431"/>
      <c r="I132" s="1027"/>
      <c r="J132" s="1028"/>
      <c r="K132" s="447"/>
      <c r="L132" s="431" t="s">
        <v>308</v>
      </c>
      <c r="M132" s="1023"/>
      <c r="N132" s="838"/>
      <c r="O132" s="129"/>
      <c r="P132" s="129"/>
      <c r="AH132" s="50">
        <v>0</v>
      </c>
    </row>
    <row r="133" s="50" customFormat="1" ht="18.75" hidden="1" customHeight="1">
      <c r="A133" s="143"/>
      <c r="B133" s="143"/>
      <c r="C133" s="409" t="s">
        <v>1147</v>
      </c>
      <c r="D133" s="1037"/>
      <c r="E133" s="359"/>
      <c r="F133" s="79"/>
      <c r="G133" s="961"/>
      <c r="H133" s="758"/>
      <c r="I133" s="177" t="s">
        <v>1146</v>
      </c>
      <c r="J133" s="235"/>
      <c r="K133" s="758"/>
      <c r="L133" s="889"/>
      <c r="M133" s="1023"/>
      <c r="N133" s="838"/>
      <c r="O133" s="129"/>
      <c r="P133" s="129"/>
      <c r="AH133" s="50">
        <v>0</v>
      </c>
    </row>
    <row r="134" s="50" customFormat="1" ht="0.75" hidden="1" customHeight="1">
      <c r="A134" s="143"/>
      <c r="B134" s="143"/>
      <c r="C134" s="409" t="s">
        <v>1156</v>
      </c>
      <c r="D134" s="1037"/>
      <c r="E134" s="359"/>
      <c r="F134" s="79"/>
      <c r="G134" s="1036"/>
      <c r="H134" s="758"/>
      <c r="I134" s="177"/>
      <c r="J134" s="235"/>
      <c r="K134" s="758"/>
      <c r="L134" s="889"/>
      <c r="M134" s="1023"/>
      <c r="N134" s="838"/>
      <c r="O134" s="129"/>
      <c r="P134" s="129"/>
      <c r="AH134" s="50">
        <v>0</v>
      </c>
    </row>
    <row r="135" s="50" customFormat="1" ht="18.75" hidden="1" customHeight="1">
      <c r="A135" s="143" t="s">
        <v>262</v>
      </c>
      <c r="B135" s="143" t="s">
        <v>263</v>
      </c>
      <c r="C135" s="409"/>
      <c r="D135" s="1037"/>
      <c r="E135" s="359"/>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61" t="str">
        <f>INDEX(PT_DIFFERENTIATION_NTAR,MATCH(B135,PT_DIFFERENTIATION_NTAR_ID,0))</f>
        <v/>
      </c>
      <c r="H135" s="431"/>
      <c r="I135" s="1027"/>
      <c r="J135" s="1028"/>
      <c r="K135" s="447"/>
      <c r="L135" s="431" t="s">
        <v>308</v>
      </c>
      <c r="M135" s="1023"/>
      <c r="N135" s="838"/>
      <c r="O135" s="129"/>
      <c r="P135" s="129"/>
      <c r="AH135" s="50">
        <v>0</v>
      </c>
    </row>
    <row r="136" s="50" customFormat="1" ht="18.75" hidden="1" customHeight="1">
      <c r="A136" s="143"/>
      <c r="B136" s="143"/>
      <c r="C136" s="409" t="s">
        <v>1147</v>
      </c>
      <c r="D136" s="1037"/>
      <c r="E136" s="359"/>
      <c r="F136" s="79"/>
      <c r="G136" s="961"/>
      <c r="H136" s="758"/>
      <c r="I136" s="177" t="s">
        <v>1146</v>
      </c>
      <c r="J136" s="235"/>
      <c r="K136" s="758"/>
      <c r="L136" s="889"/>
      <c r="M136" s="1023"/>
      <c r="N136" s="838"/>
      <c r="O136" s="129"/>
      <c r="P136" s="129"/>
      <c r="AH136" s="50">
        <v>0</v>
      </c>
    </row>
    <row r="137" s="50" customFormat="1" ht="0.75" hidden="1" customHeight="1">
      <c r="A137" s="143"/>
      <c r="B137" s="143"/>
      <c r="C137" s="409" t="s">
        <v>1156</v>
      </c>
      <c r="D137" s="1037"/>
      <c r="E137" s="359"/>
      <c r="F137" s="79"/>
      <c r="G137" s="1036"/>
      <c r="H137" s="758"/>
      <c r="I137" s="177"/>
      <c r="J137" s="235"/>
      <c r="K137" s="758"/>
      <c r="L137" s="889"/>
      <c r="M137" s="1023"/>
      <c r="N137" s="838"/>
      <c r="O137" s="129"/>
      <c r="P137" s="129"/>
      <c r="AH137" s="50">
        <v>0</v>
      </c>
    </row>
    <row r="138" s="50" customFormat="1" ht="18.75" hidden="1" customHeight="1">
      <c r="A138" s="143" t="s">
        <v>267</v>
      </c>
      <c r="B138" s="143" t="s">
        <v>268</v>
      </c>
      <c r="C138" s="409"/>
      <c r="D138" s="1037"/>
      <c r="E138" s="359"/>
      <c r="F138" s="79" t="str">
        <f>INDEX(PT_DIFFERENTIATION_VTAR,MATCH(A138,PT_DIFFERENTIATION_VTAR_ID,0))</f>
        <v xml:space="preserve">Тариф на водоотведение</v>
      </c>
      <c r="G138" s="961" t="str">
        <f>INDEX(PT_DIFFERENTIATION_NTAR,MATCH(B138,PT_DIFFERENTIATION_NTAR_ID,0))</f>
        <v/>
      </c>
      <c r="H138" s="431"/>
      <c r="I138" s="1027"/>
      <c r="J138" s="1028"/>
      <c r="K138" s="447"/>
      <c r="L138" s="431" t="s">
        <v>308</v>
      </c>
      <c r="M138" s="1023"/>
      <c r="N138" s="838"/>
      <c r="O138" s="129"/>
      <c r="P138" s="129"/>
      <c r="AH138" s="50">
        <v>0</v>
      </c>
    </row>
    <row r="139" s="50" customFormat="1" ht="18.75" hidden="1" customHeight="1">
      <c r="A139" s="143"/>
      <c r="B139" s="143"/>
      <c r="C139" s="409" t="s">
        <v>1147</v>
      </c>
      <c r="D139" s="1037"/>
      <c r="E139" s="359"/>
      <c r="F139" s="79"/>
      <c r="G139" s="961"/>
      <c r="H139" s="758"/>
      <c r="I139" s="177" t="s">
        <v>1146</v>
      </c>
      <c r="J139" s="235"/>
      <c r="K139" s="758"/>
      <c r="L139" s="889"/>
      <c r="M139" s="1023"/>
      <c r="N139" s="838"/>
      <c r="O139" s="129"/>
      <c r="P139" s="129"/>
      <c r="AH139" s="50">
        <v>0</v>
      </c>
    </row>
    <row r="140" s="50" customFormat="1" ht="0.75" hidden="1" customHeight="1">
      <c r="A140" s="143"/>
      <c r="B140" s="143"/>
      <c r="C140" s="409" t="s">
        <v>1156</v>
      </c>
      <c r="D140" s="1037"/>
      <c r="E140" s="359"/>
      <c r="F140" s="79"/>
      <c r="G140" s="1036"/>
      <c r="H140" s="758"/>
      <c r="I140" s="177"/>
      <c r="J140" s="235"/>
      <c r="K140" s="758"/>
      <c r="L140" s="889"/>
      <c r="M140" s="1023"/>
      <c r="N140" s="838"/>
      <c r="O140" s="129"/>
      <c r="P140" s="129"/>
      <c r="AH140" s="50">
        <v>0</v>
      </c>
    </row>
    <row r="141" s="50" customFormat="1" ht="18.75" hidden="1" customHeight="1">
      <c r="A141" s="143" t="s">
        <v>272</v>
      </c>
      <c r="B141" s="143" t="s">
        <v>273</v>
      </c>
      <c r="C141" s="409"/>
      <c r="D141" s="1037"/>
      <c r="E141" s="359"/>
      <c r="F141" s="79" t="str">
        <f>INDEX(PT_DIFFERENTIATION_VTAR,MATCH(A141,PT_DIFFERENTIATION_VTAR_ID,0))</f>
        <v xml:space="preserve">Тариф на транспортировку сточных вод</v>
      </c>
      <c r="G141" s="961" t="str">
        <f>INDEX(PT_DIFFERENTIATION_NTAR,MATCH(B141,PT_DIFFERENTIATION_NTAR_ID,0))</f>
        <v/>
      </c>
      <c r="H141" s="431"/>
      <c r="I141" s="1027"/>
      <c r="J141" s="1028"/>
      <c r="K141" s="447"/>
      <c r="L141" s="431" t="s">
        <v>308</v>
      </c>
      <c r="M141" s="1023"/>
      <c r="N141" s="838"/>
      <c r="O141" s="129"/>
      <c r="P141" s="129"/>
      <c r="AH141" s="50">
        <v>0</v>
      </c>
    </row>
    <row r="142" s="50" customFormat="1" ht="18.75" hidden="1" customHeight="1">
      <c r="A142" s="143"/>
      <c r="B142" s="143"/>
      <c r="C142" s="409" t="s">
        <v>1147</v>
      </c>
      <c r="D142" s="1037"/>
      <c r="E142" s="359"/>
      <c r="F142" s="79"/>
      <c r="G142" s="961"/>
      <c r="H142" s="758"/>
      <c r="I142" s="177" t="s">
        <v>1146</v>
      </c>
      <c r="J142" s="235"/>
      <c r="K142" s="758"/>
      <c r="L142" s="889"/>
      <c r="M142" s="1023"/>
      <c r="N142" s="838"/>
      <c r="O142" s="129"/>
      <c r="P142" s="129"/>
      <c r="AH142" s="50">
        <v>0</v>
      </c>
    </row>
    <row r="143" s="50" customFormat="1" ht="0.75" hidden="1" customHeight="1">
      <c r="A143" s="143"/>
      <c r="B143" s="143"/>
      <c r="C143" s="409" t="s">
        <v>1156</v>
      </c>
      <c r="D143" s="1037"/>
      <c r="E143" s="359"/>
      <c r="F143" s="79"/>
      <c r="G143" s="1036"/>
      <c r="H143" s="758"/>
      <c r="I143" s="177"/>
      <c r="J143" s="235"/>
      <c r="K143" s="758"/>
      <c r="L143" s="889"/>
      <c r="M143" s="1023"/>
      <c r="N143" s="838"/>
      <c r="O143" s="129"/>
      <c r="P143" s="129"/>
      <c r="AH143" s="50">
        <v>0</v>
      </c>
    </row>
    <row r="144" s="50" customFormat="1" ht="18.75" hidden="1" customHeight="1">
      <c r="A144" s="143" t="s">
        <v>277</v>
      </c>
      <c r="B144" s="143" t="s">
        <v>278</v>
      </c>
      <c r="C144" s="409"/>
      <c r="D144" s="1037"/>
      <c r="E144" s="359"/>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61" t="str">
        <f>INDEX(PT_DIFFERENTIATION_NTAR,MATCH(B144,PT_DIFFERENTIATION_NTAR_ID,0))</f>
        <v/>
      </c>
      <c r="H144" s="431"/>
      <c r="I144" s="1027"/>
      <c r="J144" s="1028"/>
      <c r="K144" s="447"/>
      <c r="L144" s="431" t="s">
        <v>308</v>
      </c>
      <c r="M144" s="1023"/>
      <c r="N144" s="838"/>
      <c r="O144" s="129"/>
      <c r="P144" s="129"/>
      <c r="AH144" s="50">
        <v>0</v>
      </c>
    </row>
    <row r="145" s="50" customFormat="1" ht="18.75" hidden="1" customHeight="1">
      <c r="A145" s="143"/>
      <c r="B145" s="143"/>
      <c r="C145" s="409" t="s">
        <v>1147</v>
      </c>
      <c r="D145" s="1037"/>
      <c r="E145" s="359"/>
      <c r="F145" s="79"/>
      <c r="G145" s="961"/>
      <c r="H145" s="758"/>
      <c r="I145" s="177" t="s">
        <v>1146</v>
      </c>
      <c r="J145" s="235"/>
      <c r="K145" s="758"/>
      <c r="L145" s="889"/>
      <c r="M145" s="1023"/>
      <c r="N145" s="838"/>
      <c r="O145" s="129"/>
      <c r="P145" s="129"/>
      <c r="AH145" s="50">
        <v>0</v>
      </c>
    </row>
    <row r="146" s="50" customFormat="1" ht="1.05" customHeight="1">
      <c r="A146" s="143"/>
      <c r="B146" s="143"/>
      <c r="C146" s="409" t="s">
        <v>1156</v>
      </c>
      <c r="D146" s="1037"/>
      <c r="E146" s="359"/>
      <c r="F146" s="79"/>
      <c r="G146" s="1036"/>
      <c r="H146" s="758"/>
      <c r="I146" s="177"/>
      <c r="J146" s="235"/>
      <c r="K146" s="758"/>
      <c r="L146" s="889"/>
      <c r="M146" s="1023"/>
      <c r="N146" s="838"/>
      <c r="O146" s="129"/>
      <c r="P146" s="129"/>
      <c r="AH146" s="50">
        <v>1</v>
      </c>
    </row>
    <row r="147" ht="19.949999999999999" customHeight="1">
      <c r="A147" s="143"/>
      <c r="B147" s="143"/>
      <c r="D147" s="553"/>
      <c r="E147" s="359" t="s">
        <v>91</v>
      </c>
      <c r="F147" s="8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отпущенной потребителям воды</v>
      </c>
      <c r="G147" s="887"/>
      <c r="H147" s="887"/>
      <c r="I147" s="887"/>
      <c r="J147" s="887"/>
      <c r="K147" s="887"/>
      <c r="L147" s="887"/>
      <c r="M147" s="879"/>
      <c r="N147" s="838"/>
      <c r="AH147" s="50">
        <v>19</v>
      </c>
    </row>
    <row r="148" s="50" customFormat="1" ht="60.75" hidden="1" customHeight="1">
      <c r="A148" s="143" t="s">
        <v>154</v>
      </c>
      <c r="B148" s="143" t="s">
        <v>155</v>
      </c>
      <c r="C148" s="409"/>
      <c r="D148" s="1037"/>
      <c r="E148" s="359"/>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61" t="str">
        <f>INDEX(PT_DIFFERENTIATION_NTAR,MATCH(B148,PT_DIFFERENTIATION_NTAR_ID,0))</f>
        <v/>
      </c>
      <c r="H148" s="431"/>
      <c r="I148" s="1027"/>
      <c r="J148" s="1028"/>
      <c r="K148" s="447"/>
      <c r="L148" s="431" t="s">
        <v>308</v>
      </c>
      <c r="M148"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838"/>
      <c r="O148" s="129"/>
      <c r="P148" s="129"/>
      <c r="AH148" s="50">
        <v>0</v>
      </c>
    </row>
    <row r="149" s="50" customFormat="1" ht="18.75" hidden="1" customHeight="1">
      <c r="A149" s="143"/>
      <c r="B149" s="143"/>
      <c r="C149" s="409" t="s">
        <v>1147</v>
      </c>
      <c r="D149" s="1037"/>
      <c r="E149" s="359"/>
      <c r="F149" s="79"/>
      <c r="G149" s="961"/>
      <c r="H149" s="758"/>
      <c r="I149" s="177" t="s">
        <v>1146</v>
      </c>
      <c r="J149" s="235"/>
      <c r="K149" s="758"/>
      <c r="L149" s="889"/>
      <c r="M149" s="287"/>
      <c r="N149" s="838"/>
      <c r="O149" s="129"/>
      <c r="P149" s="129"/>
      <c r="AH149" s="50">
        <v>0</v>
      </c>
    </row>
    <row r="150" s="50" customFormat="1" ht="0.75" hidden="1" customHeight="1">
      <c r="A150" s="143"/>
      <c r="B150" s="143"/>
      <c r="C150" s="409" t="s">
        <v>1156</v>
      </c>
      <c r="D150" s="1037"/>
      <c r="E150" s="359"/>
      <c r="F150" s="79"/>
      <c r="G150" s="1036"/>
      <c r="H150" s="758"/>
      <c r="I150" s="177"/>
      <c r="J150" s="235"/>
      <c r="K150" s="758"/>
      <c r="L150" s="889"/>
      <c r="M150" s="287"/>
      <c r="N150" s="838"/>
      <c r="O150" s="129"/>
      <c r="P150" s="129"/>
      <c r="AH150" s="50">
        <v>0</v>
      </c>
    </row>
    <row r="151" s="50" customFormat="1" ht="45" hidden="1" customHeight="1">
      <c r="A151" s="143" t="s">
        <v>159</v>
      </c>
      <c r="B151" s="143" t="s">
        <v>160</v>
      </c>
      <c r="C151" s="409"/>
      <c r="D151" s="1037"/>
      <c r="E151" s="359"/>
      <c r="F151" s="79" t="str">
        <f>INDEX(PT_DIFFERENTIATION_VTAR,MATCH(A151,PT_DIFFERENTIATION_VTAR_ID,0))</f>
        <v/>
      </c>
      <c r="G151" s="961" t="str">
        <f>INDEX(PT_DIFFERENTIATION_NTAR,MATCH(B151,PT_DIFFERENTIATION_NTAR_ID,0))</f>
        <v/>
      </c>
      <c r="H151" s="431"/>
      <c r="I151" s="1027"/>
      <c r="J151" s="1028"/>
      <c r="K151" s="447"/>
      <c r="L151" s="431" t="s">
        <v>308</v>
      </c>
      <c r="M151" s="289"/>
      <c r="N151" s="838"/>
      <c r="O151" s="129"/>
      <c r="P151" s="129"/>
      <c r="AH151" s="50">
        <v>0</v>
      </c>
    </row>
    <row r="152" s="50" customFormat="1" ht="18.75" hidden="1" customHeight="1">
      <c r="A152" s="143"/>
      <c r="B152" s="143"/>
      <c r="C152" s="409" t="s">
        <v>1147</v>
      </c>
      <c r="D152" s="1037"/>
      <c r="E152" s="359"/>
      <c r="F152" s="79"/>
      <c r="G152" s="961"/>
      <c r="H152" s="758"/>
      <c r="I152" s="177" t="s">
        <v>1146</v>
      </c>
      <c r="J152" s="235"/>
      <c r="K152" s="758"/>
      <c r="L152" s="889"/>
      <c r="M152" s="287"/>
      <c r="N152" s="838"/>
      <c r="O152" s="129"/>
      <c r="P152" s="129"/>
      <c r="AH152" s="50">
        <v>0</v>
      </c>
    </row>
    <row r="153" s="50" customFormat="1" ht="0.75" hidden="1" customHeight="1">
      <c r="A153" s="143"/>
      <c r="B153" s="143"/>
      <c r="C153" s="409" t="s">
        <v>1156</v>
      </c>
      <c r="D153" s="1037"/>
      <c r="E153" s="359"/>
      <c r="F153" s="79"/>
      <c r="G153" s="1036"/>
      <c r="H153" s="758"/>
      <c r="I153" s="177"/>
      <c r="J153" s="235"/>
      <c r="K153" s="758"/>
      <c r="L153" s="889"/>
      <c r="M153" s="1023"/>
      <c r="N153" s="838"/>
      <c r="O153" s="129"/>
      <c r="P153" s="129"/>
      <c r="AH153" s="50">
        <v>0</v>
      </c>
    </row>
    <row r="154" s="50" customFormat="1" ht="45" hidden="1" customHeight="1">
      <c r="A154" s="143" t="s">
        <v>166</v>
      </c>
      <c r="B154" s="143" t="s">
        <v>167</v>
      </c>
      <c r="C154" s="409"/>
      <c r="D154" s="1037"/>
      <c r="E154" s="359"/>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61" t="str">
        <f>INDEX(PT_DIFFERENTIATION_NTAR,MATCH(B154,PT_DIFFERENTIATION_NTAR_ID,0))</f>
        <v/>
      </c>
      <c r="H154" s="431"/>
      <c r="I154" s="1027"/>
      <c r="J154" s="1028"/>
      <c r="K154" s="447"/>
      <c r="L154" s="431" t="s">
        <v>308</v>
      </c>
      <c r="M154" s="1023"/>
      <c r="N154" s="838"/>
      <c r="O154" s="129"/>
      <c r="P154" s="129"/>
      <c r="AH154" s="50">
        <v>0</v>
      </c>
    </row>
    <row r="155" s="50" customFormat="1" ht="18.75" hidden="1" customHeight="1">
      <c r="A155" s="143"/>
      <c r="B155" s="143"/>
      <c r="C155" s="409" t="s">
        <v>1147</v>
      </c>
      <c r="D155" s="1037"/>
      <c r="E155" s="359"/>
      <c r="F155" s="79"/>
      <c r="G155" s="961"/>
      <c r="H155" s="758"/>
      <c r="I155" s="177" t="s">
        <v>1146</v>
      </c>
      <c r="J155" s="235"/>
      <c r="K155" s="758"/>
      <c r="L155" s="889"/>
      <c r="M155" s="1023"/>
      <c r="N155" s="838"/>
      <c r="O155" s="129"/>
      <c r="P155" s="129"/>
      <c r="AH155" s="50">
        <v>0</v>
      </c>
    </row>
    <row r="156" s="50" customFormat="1" ht="0.75" hidden="1" customHeight="1">
      <c r="A156" s="143"/>
      <c r="B156" s="143"/>
      <c r="C156" s="409" t="s">
        <v>1156</v>
      </c>
      <c r="D156" s="1037"/>
      <c r="E156" s="359"/>
      <c r="F156" s="79"/>
      <c r="G156" s="1036"/>
      <c r="H156" s="758"/>
      <c r="I156" s="177"/>
      <c r="J156" s="235"/>
      <c r="K156" s="758"/>
      <c r="L156" s="889"/>
      <c r="M156" s="1023"/>
      <c r="N156" s="838"/>
      <c r="O156" s="129"/>
      <c r="P156" s="129"/>
      <c r="AH156" s="50">
        <v>0</v>
      </c>
    </row>
    <row r="157" s="50" customFormat="1" ht="45" hidden="1" customHeight="1">
      <c r="A157" s="143" t="s">
        <v>172</v>
      </c>
      <c r="B157" s="143" t="s">
        <v>173</v>
      </c>
      <c r="C157" s="409"/>
      <c r="D157" s="1037"/>
      <c r="E157" s="359"/>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61" t="str">
        <f>INDEX(PT_DIFFERENTIATION_NTAR,MATCH(B157,PT_DIFFERENTIATION_NTAR_ID,0))</f>
        <v/>
      </c>
      <c r="H157" s="431"/>
      <c r="I157" s="1027"/>
      <c r="J157" s="1028"/>
      <c r="K157" s="447"/>
      <c r="L157" s="431" t="s">
        <v>308</v>
      </c>
      <c r="M157" s="1023"/>
      <c r="N157" s="838"/>
      <c r="O157" s="129"/>
      <c r="P157" s="129"/>
      <c r="AH157" s="50">
        <v>0</v>
      </c>
    </row>
    <row r="158" s="50" customFormat="1" ht="18.75" hidden="1" customHeight="1">
      <c r="A158" s="143"/>
      <c r="B158" s="143"/>
      <c r="C158" s="409" t="s">
        <v>1147</v>
      </c>
      <c r="D158" s="1037"/>
      <c r="E158" s="359"/>
      <c r="F158" s="79"/>
      <c r="G158" s="961"/>
      <c r="H158" s="758"/>
      <c r="I158" s="177" t="s">
        <v>1146</v>
      </c>
      <c r="J158" s="235"/>
      <c r="K158" s="758"/>
      <c r="L158" s="889"/>
      <c r="M158" s="1023"/>
      <c r="N158" s="838"/>
      <c r="O158" s="129"/>
      <c r="P158" s="129"/>
      <c r="AH158" s="50">
        <v>0</v>
      </c>
    </row>
    <row r="159" s="50" customFormat="1" ht="0.75" hidden="1" customHeight="1">
      <c r="A159" s="143"/>
      <c r="B159" s="143"/>
      <c r="C159" s="409" t="s">
        <v>1156</v>
      </c>
      <c r="D159" s="1037"/>
      <c r="E159" s="359"/>
      <c r="F159" s="79"/>
      <c r="G159" s="1036"/>
      <c r="H159" s="758"/>
      <c r="I159" s="177"/>
      <c r="J159" s="235"/>
      <c r="K159" s="758"/>
      <c r="L159" s="889"/>
      <c r="M159" s="1023"/>
      <c r="N159" s="838"/>
      <c r="O159" s="129"/>
      <c r="P159" s="129"/>
      <c r="AH159" s="50">
        <v>0</v>
      </c>
    </row>
    <row r="160" s="50" customFormat="1" ht="18.75" hidden="1" customHeight="1">
      <c r="A160" s="143" t="s">
        <v>178</v>
      </c>
      <c r="B160" s="143" t="s">
        <v>179</v>
      </c>
      <c r="C160" s="409"/>
      <c r="D160" s="1037"/>
      <c r="E160" s="359"/>
      <c r="F160" s="79" t="str">
        <f>INDEX(PT_DIFFERENTIATION_VTAR,MATCH(A160,PT_DIFFERENTIATION_VTAR_ID,0))</f>
        <v xml:space="preserve">Тарифы на услуги по передаче тепловой энергии</v>
      </c>
      <c r="G160" s="961" t="str">
        <f>INDEX(PT_DIFFERENTIATION_NTAR,MATCH(B160,PT_DIFFERENTIATION_NTAR_ID,0))</f>
        <v/>
      </c>
      <c r="H160" s="431"/>
      <c r="I160" s="1027"/>
      <c r="J160" s="1028"/>
      <c r="K160" s="447"/>
      <c r="L160" s="431" t="s">
        <v>308</v>
      </c>
      <c r="M160" s="1023"/>
      <c r="N160" s="838"/>
      <c r="O160" s="129"/>
      <c r="P160" s="129"/>
      <c r="AH160" s="50">
        <v>0</v>
      </c>
    </row>
    <row r="161" s="50" customFormat="1" ht="18.75" hidden="1" customHeight="1">
      <c r="A161" s="143"/>
      <c r="B161" s="143"/>
      <c r="C161" s="409" t="s">
        <v>1147</v>
      </c>
      <c r="D161" s="1037"/>
      <c r="E161" s="359"/>
      <c r="F161" s="79"/>
      <c r="G161" s="961"/>
      <c r="H161" s="758"/>
      <c r="I161" s="177" t="s">
        <v>1146</v>
      </c>
      <c r="J161" s="235"/>
      <c r="K161" s="758"/>
      <c r="L161" s="889"/>
      <c r="M161" s="1023"/>
      <c r="N161" s="838"/>
      <c r="O161" s="129"/>
      <c r="P161" s="129"/>
      <c r="AH161" s="50">
        <v>0</v>
      </c>
    </row>
    <row r="162" s="50" customFormat="1" ht="0.75" hidden="1" customHeight="1">
      <c r="A162" s="143"/>
      <c r="B162" s="143"/>
      <c r="C162" s="409" t="s">
        <v>1156</v>
      </c>
      <c r="D162" s="1037"/>
      <c r="E162" s="359"/>
      <c r="F162" s="79"/>
      <c r="G162" s="1036"/>
      <c r="H162" s="758"/>
      <c r="I162" s="177"/>
      <c r="J162" s="235"/>
      <c r="K162" s="758"/>
      <c r="L162" s="889"/>
      <c r="M162" s="1023"/>
      <c r="N162" s="838"/>
      <c r="O162" s="129"/>
      <c r="P162" s="129"/>
      <c r="AH162" s="50">
        <v>0</v>
      </c>
    </row>
    <row r="163" s="50" customFormat="1" ht="18.75" hidden="1" customHeight="1">
      <c r="A163" s="143" t="s">
        <v>184</v>
      </c>
      <c r="B163" s="143" t="s">
        <v>185</v>
      </c>
      <c r="C163" s="409"/>
      <c r="D163" s="1037"/>
      <c r="E163" s="359"/>
      <c r="F163" s="79" t="str">
        <f>INDEX(PT_DIFFERENTIATION_VTAR,MATCH(A163,PT_DIFFERENTIATION_VTAR_ID,0))</f>
        <v xml:space="preserve">Тарифы на услуги по передаче теплоносителя</v>
      </c>
      <c r="G163" s="961" t="str">
        <f>INDEX(PT_DIFFERENTIATION_NTAR,MATCH(B163,PT_DIFFERENTIATION_NTAR_ID,0))</f>
        <v/>
      </c>
      <c r="H163" s="431"/>
      <c r="I163" s="1027"/>
      <c r="J163" s="1028"/>
      <c r="K163" s="447"/>
      <c r="L163" s="431" t="s">
        <v>308</v>
      </c>
      <c r="M163" s="1023"/>
      <c r="N163" s="838"/>
      <c r="O163" s="129"/>
      <c r="P163" s="129"/>
      <c r="AH163" s="50">
        <v>0</v>
      </c>
    </row>
    <row r="164" s="50" customFormat="1" ht="18.75" hidden="1" customHeight="1">
      <c r="A164" s="143"/>
      <c r="B164" s="143"/>
      <c r="C164" s="409" t="s">
        <v>1147</v>
      </c>
      <c r="D164" s="1037"/>
      <c r="E164" s="359"/>
      <c r="F164" s="79"/>
      <c r="G164" s="961"/>
      <c r="H164" s="758"/>
      <c r="I164" s="177" t="s">
        <v>1146</v>
      </c>
      <c r="J164" s="235"/>
      <c r="K164" s="758"/>
      <c r="L164" s="889"/>
      <c r="M164" s="1023"/>
      <c r="N164" s="838"/>
      <c r="O164" s="129"/>
      <c r="P164" s="129"/>
      <c r="AH164" s="50">
        <v>0</v>
      </c>
    </row>
    <row r="165" s="50" customFormat="1" ht="0.75" hidden="1" customHeight="1">
      <c r="A165" s="143"/>
      <c r="B165" s="143"/>
      <c r="C165" s="409" t="s">
        <v>1156</v>
      </c>
      <c r="D165" s="1037"/>
      <c r="E165" s="359"/>
      <c r="F165" s="79"/>
      <c r="G165" s="1036"/>
      <c r="H165" s="758"/>
      <c r="I165" s="177"/>
      <c r="J165" s="235"/>
      <c r="K165" s="758"/>
      <c r="L165" s="889"/>
      <c r="M165" s="1023"/>
      <c r="N165" s="838"/>
      <c r="O165" s="129"/>
      <c r="P165" s="129"/>
      <c r="AH165" s="50">
        <v>0</v>
      </c>
    </row>
    <row r="166" s="50" customFormat="1" ht="18.75" hidden="1" customHeight="1">
      <c r="A166" s="143" t="s">
        <v>190</v>
      </c>
      <c r="B166" s="143" t="s">
        <v>191</v>
      </c>
      <c r="C166" s="409"/>
      <c r="D166" s="1037"/>
      <c r="E166" s="359"/>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61" t="str">
        <f>INDEX(PT_DIFFERENTIATION_NTAR,MATCH(B166,PT_DIFFERENTIATION_NTAR_ID,0))</f>
        <v/>
      </c>
      <c r="H166" s="431"/>
      <c r="I166" s="1027"/>
      <c r="J166" s="1028"/>
      <c r="K166" s="447"/>
      <c r="L166" s="431" t="s">
        <v>308</v>
      </c>
      <c r="M166" s="1023"/>
      <c r="N166" s="838"/>
      <c r="O166" s="129"/>
      <c r="P166" s="129"/>
      <c r="AH166" s="50">
        <v>0</v>
      </c>
    </row>
    <row r="167" s="50" customFormat="1" ht="18.75" hidden="1" customHeight="1">
      <c r="A167" s="143"/>
      <c r="B167" s="143"/>
      <c r="C167" s="409" t="s">
        <v>1147</v>
      </c>
      <c r="D167" s="1037"/>
      <c r="E167" s="359"/>
      <c r="F167" s="79"/>
      <c r="G167" s="961"/>
      <c r="H167" s="758"/>
      <c r="I167" s="177" t="s">
        <v>1146</v>
      </c>
      <c r="J167" s="235"/>
      <c r="K167" s="758"/>
      <c r="L167" s="889"/>
      <c r="M167" s="1023"/>
      <c r="N167" s="838"/>
      <c r="O167" s="129"/>
      <c r="P167" s="129"/>
      <c r="AH167" s="50">
        <v>0</v>
      </c>
    </row>
    <row r="168" s="50" customFormat="1" ht="0.75" hidden="1" customHeight="1">
      <c r="A168" s="143"/>
      <c r="B168" s="143"/>
      <c r="C168" s="409" t="s">
        <v>1156</v>
      </c>
      <c r="D168" s="1037"/>
      <c r="E168" s="359"/>
      <c r="F168" s="79"/>
      <c r="G168" s="1036"/>
      <c r="H168" s="758"/>
      <c r="I168" s="177"/>
      <c r="J168" s="235"/>
      <c r="K168" s="758"/>
      <c r="L168" s="889"/>
      <c r="M168" s="1023"/>
      <c r="N168" s="838"/>
      <c r="O168" s="129"/>
      <c r="P168" s="129"/>
      <c r="AH168" s="50">
        <v>0</v>
      </c>
    </row>
    <row r="169" s="50" customFormat="1" ht="18.75" hidden="1" customHeight="1">
      <c r="A169" s="143" t="s">
        <v>196</v>
      </c>
      <c r="B169" s="143" t="s">
        <v>197</v>
      </c>
      <c r="C169" s="409"/>
      <c r="D169" s="1037"/>
      <c r="E169" s="359"/>
      <c r="F169" s="79" t="str">
        <f>INDEX(PT_DIFFERENTIATION_VTAR,MATCH(A169,PT_DIFFERENTIATION_VTAR_ID,0))</f>
        <v xml:space="preserve">Плата за подключение (технологическое присоединение) к системе теплоснабжения</v>
      </c>
      <c r="G169" s="961" t="str">
        <f>INDEX(PT_DIFFERENTIATION_NTAR,MATCH(B169,PT_DIFFERENTIATION_NTAR_ID,0))</f>
        <v/>
      </c>
      <c r="H169" s="431"/>
      <c r="I169" s="1027"/>
      <c r="J169" s="1028"/>
      <c r="K169" s="447"/>
      <c r="L169" s="431" t="s">
        <v>308</v>
      </c>
      <c r="M169" s="1023"/>
      <c r="N169" s="838"/>
      <c r="O169" s="129"/>
      <c r="P169" s="129"/>
      <c r="AH169" s="50">
        <v>0</v>
      </c>
    </row>
    <row r="170" s="50" customFormat="1" ht="18.75" hidden="1" customHeight="1">
      <c r="A170" s="143"/>
      <c r="B170" s="143"/>
      <c r="C170" s="409" t="s">
        <v>1147</v>
      </c>
      <c r="D170" s="1037"/>
      <c r="E170" s="359"/>
      <c r="F170" s="79"/>
      <c r="G170" s="961"/>
      <c r="H170" s="758"/>
      <c r="I170" s="177" t="s">
        <v>1146</v>
      </c>
      <c r="J170" s="235"/>
      <c r="K170" s="758"/>
      <c r="L170" s="889"/>
      <c r="M170" s="1023"/>
      <c r="N170" s="838"/>
      <c r="O170" s="129"/>
      <c r="P170" s="129"/>
      <c r="AH170" s="50">
        <v>0</v>
      </c>
    </row>
    <row r="171" s="50" customFormat="1" ht="0.75" hidden="1" customHeight="1">
      <c r="A171" s="143"/>
      <c r="B171" s="143"/>
      <c r="C171" s="409" t="s">
        <v>1156</v>
      </c>
      <c r="D171" s="1037"/>
      <c r="E171" s="359"/>
      <c r="F171" s="79"/>
      <c r="G171" s="1036"/>
      <c r="H171" s="758"/>
      <c r="I171" s="177"/>
      <c r="J171" s="235"/>
      <c r="K171" s="758"/>
      <c r="L171" s="889"/>
      <c r="M171" s="1023"/>
      <c r="N171" s="838"/>
      <c r="O171" s="129"/>
      <c r="P171" s="129"/>
      <c r="AH171" s="50">
        <v>0</v>
      </c>
    </row>
    <row r="172" s="50" customFormat="1" ht="18.75" hidden="1" customHeight="1">
      <c r="A172" s="143" t="s">
        <v>202</v>
      </c>
      <c r="B172" s="143" t="s">
        <v>203</v>
      </c>
      <c r="C172" s="409"/>
      <c r="D172" s="1037"/>
      <c r="E172" s="359"/>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61" t="str">
        <f>INDEX(PT_DIFFERENTIATION_NTAR,MATCH(B172,PT_DIFFERENTIATION_NTAR_ID,0))</f>
        <v/>
      </c>
      <c r="H172" s="431"/>
      <c r="I172" s="1027"/>
      <c r="J172" s="1028"/>
      <c r="K172" s="447"/>
      <c r="L172" s="431" t="s">
        <v>308</v>
      </c>
      <c r="M172" s="1023"/>
      <c r="N172" s="838"/>
      <c r="O172" s="129"/>
      <c r="P172" s="129"/>
      <c r="AH172" s="50">
        <v>0</v>
      </c>
    </row>
    <row r="173" s="50" customFormat="1" ht="18.75" hidden="1" customHeight="1">
      <c r="A173" s="143"/>
      <c r="B173" s="143"/>
      <c r="C173" s="409" t="s">
        <v>1147</v>
      </c>
      <c r="D173" s="1037"/>
      <c r="E173" s="359"/>
      <c r="F173" s="79"/>
      <c r="G173" s="961"/>
      <c r="H173" s="758"/>
      <c r="I173" s="177" t="s">
        <v>1146</v>
      </c>
      <c r="J173" s="235"/>
      <c r="K173" s="758"/>
      <c r="L173" s="889"/>
      <c r="M173" s="1023"/>
      <c r="N173" s="838"/>
      <c r="O173" s="129"/>
      <c r="P173" s="129"/>
      <c r="AH173" s="50">
        <v>0</v>
      </c>
    </row>
    <row r="174" s="50" customFormat="1" ht="0.75" hidden="1" customHeight="1">
      <c r="A174" s="143"/>
      <c r="B174" s="143"/>
      <c r="C174" s="409" t="s">
        <v>1156</v>
      </c>
      <c r="D174" s="1037"/>
      <c r="E174" s="359"/>
      <c r="F174" s="79"/>
      <c r="G174" s="1036"/>
      <c r="H174" s="758"/>
      <c r="I174" s="177"/>
      <c r="J174" s="235"/>
      <c r="K174" s="758"/>
      <c r="L174" s="889"/>
      <c r="M174" s="1023"/>
      <c r="N174" s="838"/>
      <c r="O174" s="129"/>
      <c r="P174" s="129"/>
      <c r="AH174" s="50">
        <v>0</v>
      </c>
    </row>
    <row r="175" s="50" customFormat="1" ht="18.75" hidden="1" customHeight="1">
      <c r="A175" s="143" t="s">
        <v>222</v>
      </c>
      <c r="B175" s="143" t="s">
        <v>223</v>
      </c>
      <c r="C175" s="409"/>
      <c r="D175" s="1037"/>
      <c r="E175" s="359"/>
      <c r="F175" s="79" t="str">
        <f>INDEX(PT_DIFFERENTIATION_VTAR,MATCH(A175,PT_DIFFERENTIATION_VTAR_ID,0))</f>
        <v xml:space="preserve">Тариф на питьевую воду (питьевое водоснабжение)</v>
      </c>
      <c r="G175" s="961" t="str">
        <f>INDEX(PT_DIFFERENTIATION_NTAR,MATCH(B175,PT_DIFFERENTIATION_NTAR_ID,0))</f>
        <v/>
      </c>
      <c r="H175" s="431"/>
      <c r="I175" s="1027"/>
      <c r="J175" s="1028"/>
      <c r="K175" s="447"/>
      <c r="L175" s="431" t="s">
        <v>308</v>
      </c>
      <c r="M175" s="1023"/>
      <c r="N175" s="838"/>
      <c r="O175" s="129"/>
      <c r="P175" s="129"/>
      <c r="AH175" s="50">
        <v>0</v>
      </c>
    </row>
    <row r="176" s="50" customFormat="1" ht="18.75" hidden="1" customHeight="1">
      <c r="A176" s="143"/>
      <c r="B176" s="143"/>
      <c r="C176" s="409" t="s">
        <v>1147</v>
      </c>
      <c r="D176" s="1037"/>
      <c r="E176" s="359"/>
      <c r="F176" s="79"/>
      <c r="G176" s="961"/>
      <c r="H176" s="758"/>
      <c r="I176" s="177" t="s">
        <v>1146</v>
      </c>
      <c r="J176" s="235"/>
      <c r="K176" s="758"/>
      <c r="L176" s="889"/>
      <c r="M176" s="1023"/>
      <c r="N176" s="838"/>
      <c r="O176" s="129"/>
      <c r="P176" s="129"/>
      <c r="AH176" s="50">
        <v>0</v>
      </c>
    </row>
    <row r="177" s="50" customFormat="1" ht="0.75" hidden="1" customHeight="1">
      <c r="A177" s="143"/>
      <c r="B177" s="143"/>
      <c r="C177" s="409" t="s">
        <v>1156</v>
      </c>
      <c r="D177" s="1037"/>
      <c r="E177" s="359"/>
      <c r="F177" s="79"/>
      <c r="G177" s="1036"/>
      <c r="H177" s="758"/>
      <c r="I177" s="177"/>
      <c r="J177" s="235"/>
      <c r="K177" s="758"/>
      <c r="L177" s="889"/>
      <c r="M177" s="1023"/>
      <c r="N177" s="838"/>
      <c r="O177" s="129"/>
      <c r="P177" s="129"/>
      <c r="AH177" s="50">
        <v>0</v>
      </c>
    </row>
    <row r="178" s="50" customFormat="1" ht="18.75" hidden="1" customHeight="1">
      <c r="A178" s="143" t="s">
        <v>227</v>
      </c>
      <c r="B178" s="143" t="s">
        <v>228</v>
      </c>
      <c r="C178" s="409"/>
      <c r="D178" s="1037"/>
      <c r="E178" s="359"/>
      <c r="F178" s="79" t="str">
        <f>INDEX(PT_DIFFERENTIATION_VTAR,MATCH(A178,PT_DIFFERENTIATION_VTAR_ID,0))</f>
        <v xml:space="preserve">Тариф на техническую воду</v>
      </c>
      <c r="G178" s="961" t="str">
        <f>INDEX(PT_DIFFERENTIATION_NTAR,MATCH(B178,PT_DIFFERENTIATION_NTAR_ID,0))</f>
        <v/>
      </c>
      <c r="H178" s="431"/>
      <c r="I178" s="1027"/>
      <c r="J178" s="1028"/>
      <c r="K178" s="447"/>
      <c r="L178" s="431" t="s">
        <v>308</v>
      </c>
      <c r="M178" s="1023"/>
      <c r="N178" s="838"/>
      <c r="O178" s="129"/>
      <c r="P178" s="129"/>
      <c r="AH178" s="50">
        <v>0</v>
      </c>
    </row>
    <row r="179" s="50" customFormat="1" ht="18.75" hidden="1" customHeight="1">
      <c r="A179" s="143"/>
      <c r="B179" s="143"/>
      <c r="C179" s="409" t="s">
        <v>1147</v>
      </c>
      <c r="D179" s="1037"/>
      <c r="E179" s="359"/>
      <c r="F179" s="79"/>
      <c r="G179" s="961"/>
      <c r="H179" s="758"/>
      <c r="I179" s="177" t="s">
        <v>1146</v>
      </c>
      <c r="J179" s="235"/>
      <c r="K179" s="758"/>
      <c r="L179" s="889"/>
      <c r="M179" s="1023"/>
      <c r="N179" s="838"/>
      <c r="O179" s="129"/>
      <c r="P179" s="129"/>
      <c r="AH179" s="50">
        <v>0</v>
      </c>
    </row>
    <row r="180" s="50" customFormat="1" ht="0.75" hidden="1" customHeight="1">
      <c r="A180" s="143"/>
      <c r="B180" s="143"/>
      <c r="C180" s="409" t="s">
        <v>1156</v>
      </c>
      <c r="D180" s="1037"/>
      <c r="E180" s="359"/>
      <c r="F180" s="79"/>
      <c r="G180" s="1036"/>
      <c r="H180" s="758"/>
      <c r="I180" s="177"/>
      <c r="J180" s="235"/>
      <c r="K180" s="758"/>
      <c r="L180" s="889"/>
      <c r="M180" s="1023"/>
      <c r="N180" s="838"/>
      <c r="O180" s="129"/>
      <c r="P180" s="129"/>
      <c r="AH180" s="50">
        <v>0</v>
      </c>
    </row>
    <row r="181" s="50" customFormat="1" ht="18.75" customHeight="1">
      <c r="A181" s="143" t="s">
        <v>234</v>
      </c>
      <c r="B181" s="143" t="s">
        <v>235</v>
      </c>
      <c r="C181" s="409"/>
      <c r="D181" s="1037"/>
      <c r="E181" s="359"/>
      <c r="F181" s="79" t="str">
        <f>INDEX(PT_DIFFERENTIATION_VTAR,MATCH(A181,PT_DIFFERENTIATION_VTAR_ID,0))</f>
        <v xml:space="preserve">Тариф на транспортировку воды</v>
      </c>
      <c r="G181" s="961" t="str">
        <f>INDEX(PT_DIFFERENTIATION_NTAR,MATCH(B181,PT_DIFFERENTIATION_NTAR_ID,0))</f>
        <v xml:space="preserve">Тариф на транспортировку питьевой воды</v>
      </c>
      <c r="H181" s="431"/>
      <c r="I181" s="1027">
        <v>45658</v>
      </c>
      <c r="J181" s="1028">
        <v>46022</v>
      </c>
      <c r="K181" s="447">
        <v>5.4682760000000004</v>
      </c>
      <c r="L181" s="431" t="s">
        <v>308</v>
      </c>
      <c r="M181" s="1023"/>
      <c r="N181" s="838"/>
      <c r="O181" s="129"/>
      <c r="P181" s="129"/>
      <c r="AH181" s="50">
        <v>0</v>
      </c>
    </row>
    <row r="182" s="50" customFormat="1" ht="18.75" customHeight="1">
      <c r="A182" s="143"/>
      <c r="B182" s="143"/>
      <c r="C182" s="409" t="s">
        <v>1147</v>
      </c>
      <c r="D182" s="1037"/>
      <c r="E182" s="359"/>
      <c r="F182" s="79"/>
      <c r="G182" s="961"/>
      <c r="H182" s="758"/>
      <c r="I182" s="177" t="s">
        <v>1146</v>
      </c>
      <c r="J182" s="235"/>
      <c r="K182" s="758"/>
      <c r="L182" s="889"/>
      <c r="M182" s="1023"/>
      <c r="N182" s="838"/>
      <c r="O182" s="129"/>
      <c r="P182" s="129"/>
      <c r="AH182" s="50">
        <v>0</v>
      </c>
    </row>
    <row r="183" s="50" customFormat="1" ht="0.75" customHeight="1">
      <c r="A183" s="143"/>
      <c r="B183" s="143"/>
      <c r="C183" s="409" t="s">
        <v>1156</v>
      </c>
      <c r="D183" s="1037"/>
      <c r="E183" s="359"/>
      <c r="F183" s="79"/>
      <c r="G183" s="1036"/>
      <c r="H183" s="758"/>
      <c r="I183" s="177"/>
      <c r="J183" s="235"/>
      <c r="K183" s="758"/>
      <c r="L183" s="889"/>
      <c r="M183" s="1023"/>
      <c r="N183" s="838"/>
      <c r="O183" s="129"/>
      <c r="P183" s="129"/>
      <c r="AH183" s="50">
        <v>0</v>
      </c>
    </row>
    <row r="184" s="50" customFormat="1" ht="18.75" hidden="1" customHeight="1">
      <c r="A184" s="143" t="s">
        <v>242</v>
      </c>
      <c r="B184" s="143" t="s">
        <v>243</v>
      </c>
      <c r="C184" s="409"/>
      <c r="D184" s="1037"/>
      <c r="E184" s="359"/>
      <c r="F184" s="79" t="str">
        <f>INDEX(PT_DIFFERENTIATION_VTAR,MATCH(A184,PT_DIFFERENTIATION_VTAR_ID,0))</f>
        <v xml:space="preserve">Тариф на подвоз воды</v>
      </c>
      <c r="G184" s="961" t="str">
        <f>INDEX(PT_DIFFERENTIATION_NTAR,MATCH(B184,PT_DIFFERENTIATION_NTAR_ID,0))</f>
        <v/>
      </c>
      <c r="H184" s="431"/>
      <c r="I184" s="1027"/>
      <c r="J184" s="1028"/>
      <c r="K184" s="447"/>
      <c r="L184" s="431" t="s">
        <v>308</v>
      </c>
      <c r="M184" s="1023"/>
      <c r="N184" s="838"/>
      <c r="O184" s="129"/>
      <c r="P184" s="129"/>
      <c r="AH184" s="50">
        <v>0</v>
      </c>
    </row>
    <row r="185" s="50" customFormat="1" ht="18.75" hidden="1" customHeight="1">
      <c r="A185" s="143"/>
      <c r="B185" s="143"/>
      <c r="C185" s="409" t="s">
        <v>1147</v>
      </c>
      <c r="D185" s="1037"/>
      <c r="E185" s="359"/>
      <c r="F185" s="79"/>
      <c r="G185" s="961"/>
      <c r="H185" s="758"/>
      <c r="I185" s="177" t="s">
        <v>1146</v>
      </c>
      <c r="J185" s="235"/>
      <c r="K185" s="758"/>
      <c r="L185" s="889"/>
      <c r="M185" s="1023"/>
      <c r="N185" s="838"/>
      <c r="O185" s="129"/>
      <c r="P185" s="129"/>
      <c r="AH185" s="50">
        <v>0</v>
      </c>
    </row>
    <row r="186" s="50" customFormat="1" ht="0.75" hidden="1" customHeight="1">
      <c r="A186" s="143"/>
      <c r="B186" s="143"/>
      <c r="C186" s="409" t="s">
        <v>1156</v>
      </c>
      <c r="D186" s="1037"/>
      <c r="E186" s="359"/>
      <c r="F186" s="79"/>
      <c r="G186" s="1036"/>
      <c r="H186" s="758"/>
      <c r="I186" s="177"/>
      <c r="J186" s="235"/>
      <c r="K186" s="758"/>
      <c r="L186" s="889"/>
      <c r="M186" s="1023"/>
      <c r="N186" s="838"/>
      <c r="O186" s="129"/>
      <c r="P186" s="129"/>
      <c r="AH186" s="50">
        <v>0</v>
      </c>
    </row>
    <row r="187" s="50" customFormat="1" ht="18.75" hidden="1" customHeight="1">
      <c r="A187" s="143" t="s">
        <v>247</v>
      </c>
      <c r="B187" s="143" t="s">
        <v>248</v>
      </c>
      <c r="C187" s="409"/>
      <c r="D187" s="1037"/>
      <c r="E187" s="359"/>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61" t="str">
        <f>INDEX(PT_DIFFERENTIATION_NTAR,MATCH(B187,PT_DIFFERENTIATION_NTAR_ID,0))</f>
        <v/>
      </c>
      <c r="H187" s="431"/>
      <c r="I187" s="1027"/>
      <c r="J187" s="1028"/>
      <c r="K187" s="447"/>
      <c r="L187" s="431" t="s">
        <v>308</v>
      </c>
      <c r="M187" s="1023"/>
      <c r="N187" s="838"/>
      <c r="O187" s="129"/>
      <c r="P187" s="129"/>
      <c r="AH187" s="50">
        <v>0</v>
      </c>
    </row>
    <row r="188" s="50" customFormat="1" ht="18.75" hidden="1" customHeight="1">
      <c r="A188" s="143"/>
      <c r="B188" s="143"/>
      <c r="C188" s="409" t="s">
        <v>1147</v>
      </c>
      <c r="D188" s="1037"/>
      <c r="E188" s="359"/>
      <c r="F188" s="79"/>
      <c r="G188" s="961"/>
      <c r="H188" s="758"/>
      <c r="I188" s="177" t="s">
        <v>1146</v>
      </c>
      <c r="J188" s="235"/>
      <c r="K188" s="758"/>
      <c r="L188" s="889"/>
      <c r="M188" s="1023"/>
      <c r="N188" s="838"/>
      <c r="O188" s="129"/>
      <c r="P188" s="129"/>
      <c r="AH188" s="50">
        <v>0</v>
      </c>
    </row>
    <row r="189" s="50" customFormat="1" ht="0.75" hidden="1" customHeight="1">
      <c r="A189" s="143"/>
      <c r="B189" s="143"/>
      <c r="C189" s="409" t="s">
        <v>1156</v>
      </c>
      <c r="D189" s="1037"/>
      <c r="E189" s="359"/>
      <c r="F189" s="79"/>
      <c r="G189" s="1036"/>
      <c r="H189" s="758"/>
      <c r="I189" s="177"/>
      <c r="J189" s="235"/>
      <c r="K189" s="758"/>
      <c r="L189" s="889"/>
      <c r="M189" s="1023"/>
      <c r="N189" s="838"/>
      <c r="O189" s="129"/>
      <c r="P189" s="129"/>
      <c r="AH189" s="50">
        <v>0</v>
      </c>
    </row>
    <row r="190" s="50" customFormat="1" ht="18.75" hidden="1" customHeight="1">
      <c r="A190" s="143" t="s">
        <v>252</v>
      </c>
      <c r="B190" s="143" t="s">
        <v>253</v>
      </c>
      <c r="C190" s="409"/>
      <c r="D190" s="1037"/>
      <c r="E190" s="359"/>
      <c r="F190" s="79" t="str">
        <f>INDEX(PT_DIFFERENTIATION_VTAR,MATCH(A190,PT_DIFFERENTIATION_VTAR_ID,0))</f>
        <v xml:space="preserve">Тариф на горячую воду (горячее водоснабжение)</v>
      </c>
      <c r="G190" s="961" t="str">
        <f>INDEX(PT_DIFFERENTIATION_NTAR,MATCH(B190,PT_DIFFERENTIATION_NTAR_ID,0))</f>
        <v/>
      </c>
      <c r="H190" s="431"/>
      <c r="I190" s="1027"/>
      <c r="J190" s="1028"/>
      <c r="K190" s="447"/>
      <c r="L190" s="431" t="s">
        <v>308</v>
      </c>
      <c r="M190" s="1023"/>
      <c r="N190" s="838"/>
      <c r="O190" s="129"/>
      <c r="P190" s="129"/>
      <c r="AH190" s="50">
        <v>0</v>
      </c>
    </row>
    <row r="191" s="50" customFormat="1" ht="18.75" hidden="1" customHeight="1">
      <c r="A191" s="143"/>
      <c r="B191" s="143"/>
      <c r="C191" s="409" t="s">
        <v>1147</v>
      </c>
      <c r="D191" s="1037"/>
      <c r="E191" s="359"/>
      <c r="F191" s="79"/>
      <c r="G191" s="961"/>
      <c r="H191" s="758"/>
      <c r="I191" s="177" t="s">
        <v>1146</v>
      </c>
      <c r="J191" s="235"/>
      <c r="K191" s="758"/>
      <c r="L191" s="889"/>
      <c r="M191" s="1023"/>
      <c r="N191" s="838"/>
      <c r="O191" s="129"/>
      <c r="P191" s="129"/>
      <c r="AH191" s="50">
        <v>0</v>
      </c>
    </row>
    <row r="192" s="50" customFormat="1" ht="0.75" hidden="1" customHeight="1">
      <c r="A192" s="143"/>
      <c r="B192" s="143"/>
      <c r="C192" s="409" t="s">
        <v>1156</v>
      </c>
      <c r="D192" s="1037"/>
      <c r="E192" s="359"/>
      <c r="F192" s="79"/>
      <c r="G192" s="1036"/>
      <c r="H192" s="758"/>
      <c r="I192" s="177"/>
      <c r="J192" s="235"/>
      <c r="K192" s="758"/>
      <c r="L192" s="889"/>
      <c r="M192" s="1023"/>
      <c r="N192" s="838"/>
      <c r="O192" s="129"/>
      <c r="P192" s="129"/>
      <c r="AH192" s="50">
        <v>0</v>
      </c>
    </row>
    <row r="193" s="50" customFormat="1" ht="18.75" hidden="1" customHeight="1">
      <c r="A193" s="143" t="s">
        <v>257</v>
      </c>
      <c r="B193" s="143" t="s">
        <v>258</v>
      </c>
      <c r="C193" s="409"/>
      <c r="D193" s="1037"/>
      <c r="E193" s="359"/>
      <c r="F193" s="79" t="str">
        <f>INDEX(PT_DIFFERENTIATION_VTAR,MATCH(A193,PT_DIFFERENTIATION_VTAR_ID,0))</f>
        <v xml:space="preserve">Тариф на транспортировку горячей воды</v>
      </c>
      <c r="G193" s="961" t="str">
        <f>INDEX(PT_DIFFERENTIATION_NTAR,MATCH(B193,PT_DIFFERENTIATION_NTAR_ID,0))</f>
        <v/>
      </c>
      <c r="H193" s="431"/>
      <c r="I193" s="1027"/>
      <c r="J193" s="1028"/>
      <c r="K193" s="447"/>
      <c r="L193" s="431" t="s">
        <v>308</v>
      </c>
      <c r="M193" s="1023"/>
      <c r="N193" s="838"/>
      <c r="O193" s="129"/>
      <c r="P193" s="129"/>
      <c r="AH193" s="50">
        <v>0</v>
      </c>
    </row>
    <row r="194" s="50" customFormat="1" ht="18.75" hidden="1" customHeight="1">
      <c r="A194" s="143"/>
      <c r="B194" s="143"/>
      <c r="C194" s="409" t="s">
        <v>1147</v>
      </c>
      <c r="D194" s="1037"/>
      <c r="E194" s="359"/>
      <c r="F194" s="79"/>
      <c r="G194" s="961"/>
      <c r="H194" s="758"/>
      <c r="I194" s="177" t="s">
        <v>1146</v>
      </c>
      <c r="J194" s="235"/>
      <c r="K194" s="758"/>
      <c r="L194" s="889"/>
      <c r="M194" s="1023"/>
      <c r="N194" s="838"/>
      <c r="O194" s="129"/>
      <c r="P194" s="129"/>
      <c r="AH194" s="50">
        <v>0</v>
      </c>
    </row>
    <row r="195" s="50" customFormat="1" ht="0.75" hidden="1" customHeight="1">
      <c r="A195" s="143"/>
      <c r="B195" s="143"/>
      <c r="C195" s="409" t="s">
        <v>1156</v>
      </c>
      <c r="D195" s="1037"/>
      <c r="E195" s="359"/>
      <c r="F195" s="79"/>
      <c r="G195" s="1036"/>
      <c r="H195" s="758"/>
      <c r="I195" s="177"/>
      <c r="J195" s="235"/>
      <c r="K195" s="758"/>
      <c r="L195" s="889"/>
      <c r="M195" s="1023"/>
      <c r="N195" s="838"/>
      <c r="O195" s="129"/>
      <c r="P195" s="129"/>
      <c r="AH195" s="50">
        <v>0</v>
      </c>
    </row>
    <row r="196" s="50" customFormat="1" ht="18.75" hidden="1" customHeight="1">
      <c r="A196" s="143" t="s">
        <v>262</v>
      </c>
      <c r="B196" s="143" t="s">
        <v>263</v>
      </c>
      <c r="C196" s="409"/>
      <c r="D196" s="1037"/>
      <c r="E196" s="359"/>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61" t="str">
        <f>INDEX(PT_DIFFERENTIATION_NTAR,MATCH(B196,PT_DIFFERENTIATION_NTAR_ID,0))</f>
        <v/>
      </c>
      <c r="H196" s="431"/>
      <c r="I196" s="1027"/>
      <c r="J196" s="1028"/>
      <c r="K196" s="447"/>
      <c r="L196" s="431" t="s">
        <v>308</v>
      </c>
      <c r="M196" s="1023"/>
      <c r="N196" s="838"/>
      <c r="O196" s="129"/>
      <c r="P196" s="129"/>
      <c r="AH196" s="50">
        <v>0</v>
      </c>
    </row>
    <row r="197" s="50" customFormat="1" ht="18.75" hidden="1" customHeight="1">
      <c r="A197" s="143"/>
      <c r="B197" s="143"/>
      <c r="C197" s="409" t="s">
        <v>1147</v>
      </c>
      <c r="D197" s="1037"/>
      <c r="E197" s="359"/>
      <c r="F197" s="79"/>
      <c r="G197" s="961"/>
      <c r="H197" s="758"/>
      <c r="I197" s="177" t="s">
        <v>1146</v>
      </c>
      <c r="J197" s="235"/>
      <c r="K197" s="758"/>
      <c r="L197" s="889"/>
      <c r="M197" s="1023"/>
      <c r="N197" s="838"/>
      <c r="O197" s="129"/>
      <c r="P197" s="129"/>
      <c r="AH197" s="50">
        <v>0</v>
      </c>
    </row>
    <row r="198" s="50" customFormat="1" ht="0.75" hidden="1" customHeight="1">
      <c r="A198" s="143"/>
      <c r="B198" s="143"/>
      <c r="C198" s="409" t="s">
        <v>1156</v>
      </c>
      <c r="D198" s="1037"/>
      <c r="E198" s="359"/>
      <c r="F198" s="79"/>
      <c r="G198" s="1036"/>
      <c r="H198" s="758"/>
      <c r="I198" s="177"/>
      <c r="J198" s="235"/>
      <c r="K198" s="758"/>
      <c r="L198" s="889"/>
      <c r="M198" s="1023"/>
      <c r="N198" s="838"/>
      <c r="O198" s="129"/>
      <c r="P198" s="129"/>
      <c r="AH198" s="50">
        <v>0</v>
      </c>
    </row>
    <row r="199" s="50" customFormat="1" ht="18.75" hidden="1" customHeight="1">
      <c r="A199" s="143" t="s">
        <v>267</v>
      </c>
      <c r="B199" s="143" t="s">
        <v>268</v>
      </c>
      <c r="C199" s="409"/>
      <c r="D199" s="1037"/>
      <c r="E199" s="359"/>
      <c r="F199" s="79" t="str">
        <f>INDEX(PT_DIFFERENTIATION_VTAR,MATCH(A199,PT_DIFFERENTIATION_VTAR_ID,0))</f>
        <v xml:space="preserve">Тариф на водоотведение</v>
      </c>
      <c r="G199" s="961" t="str">
        <f>INDEX(PT_DIFFERENTIATION_NTAR,MATCH(B199,PT_DIFFERENTIATION_NTAR_ID,0))</f>
        <v/>
      </c>
      <c r="H199" s="431"/>
      <c r="I199" s="1027"/>
      <c r="J199" s="1028"/>
      <c r="K199" s="447"/>
      <c r="L199" s="431" t="s">
        <v>308</v>
      </c>
      <c r="M199" s="1023"/>
      <c r="N199" s="838"/>
      <c r="O199" s="129"/>
      <c r="P199" s="129"/>
      <c r="AH199" s="50">
        <v>0</v>
      </c>
    </row>
    <row r="200" s="50" customFormat="1" ht="18.75" hidden="1" customHeight="1">
      <c r="A200" s="143"/>
      <c r="B200" s="143"/>
      <c r="C200" s="409" t="s">
        <v>1147</v>
      </c>
      <c r="D200" s="1037"/>
      <c r="E200" s="359"/>
      <c r="F200" s="79"/>
      <c r="G200" s="961"/>
      <c r="H200" s="758"/>
      <c r="I200" s="177" t="s">
        <v>1146</v>
      </c>
      <c r="J200" s="235"/>
      <c r="K200" s="758"/>
      <c r="L200" s="889"/>
      <c r="M200" s="1023"/>
      <c r="N200" s="838"/>
      <c r="O200" s="129"/>
      <c r="P200" s="129"/>
      <c r="AH200" s="50">
        <v>0</v>
      </c>
    </row>
    <row r="201" s="50" customFormat="1" ht="0.75" hidden="1" customHeight="1">
      <c r="A201" s="143"/>
      <c r="B201" s="143"/>
      <c r="C201" s="409" t="s">
        <v>1156</v>
      </c>
      <c r="D201" s="1037"/>
      <c r="E201" s="359"/>
      <c r="F201" s="79"/>
      <c r="G201" s="1036"/>
      <c r="H201" s="758"/>
      <c r="I201" s="177"/>
      <c r="J201" s="235"/>
      <c r="K201" s="758"/>
      <c r="L201" s="889"/>
      <c r="M201" s="1023"/>
      <c r="N201" s="838"/>
      <c r="O201" s="129"/>
      <c r="P201" s="129"/>
      <c r="AH201" s="50">
        <v>0</v>
      </c>
    </row>
    <row r="202" s="50" customFormat="1" ht="18.75" hidden="1" customHeight="1">
      <c r="A202" s="143" t="s">
        <v>272</v>
      </c>
      <c r="B202" s="143" t="s">
        <v>273</v>
      </c>
      <c r="C202" s="409"/>
      <c r="D202" s="1037"/>
      <c r="E202" s="359"/>
      <c r="F202" s="79" t="str">
        <f>INDEX(PT_DIFFERENTIATION_VTAR,MATCH(A202,PT_DIFFERENTIATION_VTAR_ID,0))</f>
        <v xml:space="preserve">Тариф на транспортировку сточных вод</v>
      </c>
      <c r="G202" s="961" t="str">
        <f>INDEX(PT_DIFFERENTIATION_NTAR,MATCH(B202,PT_DIFFERENTIATION_NTAR_ID,0))</f>
        <v/>
      </c>
      <c r="H202" s="431"/>
      <c r="I202" s="1027"/>
      <c r="J202" s="1028"/>
      <c r="K202" s="447"/>
      <c r="L202" s="431" t="s">
        <v>308</v>
      </c>
      <c r="M202" s="1023"/>
      <c r="N202" s="838"/>
      <c r="O202" s="129"/>
      <c r="P202" s="129"/>
      <c r="AH202" s="50">
        <v>0</v>
      </c>
    </row>
    <row r="203" s="50" customFormat="1" ht="18.75" hidden="1" customHeight="1">
      <c r="A203" s="143"/>
      <c r="B203" s="143"/>
      <c r="C203" s="409" t="s">
        <v>1147</v>
      </c>
      <c r="D203" s="1037"/>
      <c r="E203" s="359"/>
      <c r="F203" s="79"/>
      <c r="G203" s="961"/>
      <c r="H203" s="758"/>
      <c r="I203" s="177" t="s">
        <v>1146</v>
      </c>
      <c r="J203" s="235"/>
      <c r="K203" s="758"/>
      <c r="L203" s="889"/>
      <c r="M203" s="1023"/>
      <c r="N203" s="838"/>
      <c r="O203" s="129"/>
      <c r="P203" s="129"/>
      <c r="AH203" s="50">
        <v>0</v>
      </c>
    </row>
    <row r="204" s="50" customFormat="1" ht="0.75" hidden="1" customHeight="1">
      <c r="A204" s="143"/>
      <c r="B204" s="143"/>
      <c r="C204" s="409" t="s">
        <v>1156</v>
      </c>
      <c r="D204" s="1037"/>
      <c r="E204" s="359"/>
      <c r="F204" s="79"/>
      <c r="G204" s="1036"/>
      <c r="H204" s="758"/>
      <c r="I204" s="177"/>
      <c r="J204" s="235"/>
      <c r="K204" s="758"/>
      <c r="L204" s="889"/>
      <c r="M204" s="1023"/>
      <c r="N204" s="838"/>
      <c r="O204" s="129"/>
      <c r="P204" s="129"/>
      <c r="AH204" s="50">
        <v>0</v>
      </c>
    </row>
    <row r="205" s="50" customFormat="1" ht="18.75" hidden="1" customHeight="1">
      <c r="A205" s="143" t="s">
        <v>277</v>
      </c>
      <c r="B205" s="143" t="s">
        <v>278</v>
      </c>
      <c r="C205" s="409"/>
      <c r="D205" s="1037"/>
      <c r="E205" s="359"/>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61" t="str">
        <f>INDEX(PT_DIFFERENTIATION_NTAR,MATCH(B205,PT_DIFFERENTIATION_NTAR_ID,0))</f>
        <v/>
      </c>
      <c r="H205" s="431"/>
      <c r="I205" s="1027"/>
      <c r="J205" s="1028"/>
      <c r="K205" s="447"/>
      <c r="L205" s="431" t="s">
        <v>308</v>
      </c>
      <c r="M205" s="1023"/>
      <c r="N205" s="838"/>
      <c r="O205" s="129"/>
      <c r="P205" s="129"/>
      <c r="AH205" s="50">
        <v>0</v>
      </c>
    </row>
    <row r="206" s="50" customFormat="1" ht="18.75" hidden="1" customHeight="1">
      <c r="A206" s="143"/>
      <c r="B206" s="143"/>
      <c r="C206" s="409" t="s">
        <v>1147</v>
      </c>
      <c r="D206" s="1037"/>
      <c r="E206" s="359"/>
      <c r="F206" s="79"/>
      <c r="G206" s="961"/>
      <c r="H206" s="758"/>
      <c r="I206" s="177" t="s">
        <v>1146</v>
      </c>
      <c r="J206" s="235"/>
      <c r="K206" s="758"/>
      <c r="L206" s="889"/>
      <c r="M206" s="1023"/>
      <c r="N206" s="838"/>
      <c r="O206" s="129"/>
      <c r="P206" s="129"/>
      <c r="AH206" s="50">
        <v>0</v>
      </c>
    </row>
    <row r="207" s="50" customFormat="1" ht="1.05" customHeight="1">
      <c r="A207" s="143"/>
      <c r="B207" s="143"/>
      <c r="C207" s="409" t="s">
        <v>1156</v>
      </c>
      <c r="D207" s="1037"/>
      <c r="E207" s="359"/>
      <c r="F207" s="79"/>
      <c r="G207" s="1036"/>
      <c r="H207" s="758"/>
      <c r="I207" s="177"/>
      <c r="J207" s="235"/>
      <c r="K207" s="758"/>
      <c r="L207" s="889"/>
      <c r="M207" s="1023"/>
      <c r="N207" s="838"/>
      <c r="O207" s="129"/>
      <c r="P207" s="129"/>
      <c r="AH207" s="50">
        <v>1</v>
      </c>
    </row>
    <row r="208" ht="27.300000000000001" customHeight="1">
      <c r="A208" s="143"/>
      <c r="B208" s="143"/>
      <c r="D208" s="553"/>
      <c r="E208" s="359" t="s">
        <v>111</v>
      </c>
      <c r="F208" s="8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887"/>
      <c r="H208" s="887"/>
      <c r="I208" s="887"/>
      <c r="J208" s="887"/>
      <c r="K208" s="887"/>
      <c r="L208" s="887"/>
      <c r="M208" s="879"/>
      <c r="N208" s="838"/>
      <c r="AH208" s="50">
        <v>26</v>
      </c>
    </row>
    <row r="209" s="50" customFormat="1" ht="60.75" hidden="1" customHeight="1">
      <c r="A209" s="143" t="s">
        <v>154</v>
      </c>
      <c r="B209" s="143" t="s">
        <v>155</v>
      </c>
      <c r="C209" s="409"/>
      <c r="D209" s="1037"/>
      <c r="E209" s="359"/>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61" t="str">
        <f>INDEX(PT_DIFFERENTIATION_NTAR,MATCH(B209,PT_DIFFERENTIATION_NTAR_ID,0))</f>
        <v/>
      </c>
      <c r="H209" s="431"/>
      <c r="I209" s="1027"/>
      <c r="J209" s="1028"/>
      <c r="K209" s="447"/>
      <c r="L209" s="431" t="s">
        <v>308</v>
      </c>
      <c r="M209"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838"/>
      <c r="O209" s="129"/>
      <c r="P209" s="129"/>
      <c r="AH209" s="50">
        <v>0</v>
      </c>
    </row>
    <row r="210" s="50" customFormat="1" ht="18.75" hidden="1" customHeight="1">
      <c r="A210" s="143"/>
      <c r="B210" s="143"/>
      <c r="C210" s="409" t="s">
        <v>1147</v>
      </c>
      <c r="D210" s="1037"/>
      <c r="E210" s="359"/>
      <c r="F210" s="79"/>
      <c r="G210" s="961"/>
      <c r="H210" s="758"/>
      <c r="I210" s="177" t="s">
        <v>1146</v>
      </c>
      <c r="J210" s="235"/>
      <c r="K210" s="758"/>
      <c r="L210" s="889"/>
      <c r="M210" s="287"/>
      <c r="N210" s="838"/>
      <c r="O210" s="129"/>
      <c r="P210" s="129"/>
      <c r="AH210" s="50">
        <v>0</v>
      </c>
    </row>
    <row r="211" s="50" customFormat="1" ht="0.75" hidden="1" customHeight="1">
      <c r="A211" s="143"/>
      <c r="B211" s="143"/>
      <c r="C211" s="409" t="s">
        <v>1156</v>
      </c>
      <c r="D211" s="1037"/>
      <c r="E211" s="359"/>
      <c r="F211" s="79"/>
      <c r="G211" s="1036"/>
      <c r="H211" s="758"/>
      <c r="I211" s="177"/>
      <c r="J211" s="235"/>
      <c r="K211" s="758"/>
      <c r="L211" s="889"/>
      <c r="M211" s="287"/>
      <c r="N211" s="838"/>
      <c r="O211" s="129"/>
      <c r="P211" s="129"/>
      <c r="AH211" s="50">
        <v>0</v>
      </c>
    </row>
    <row r="212" s="50" customFormat="1" ht="45" hidden="1" customHeight="1">
      <c r="A212" s="143" t="s">
        <v>159</v>
      </c>
      <c r="B212" s="143" t="s">
        <v>160</v>
      </c>
      <c r="C212" s="409"/>
      <c r="D212" s="1037"/>
      <c r="E212" s="359"/>
      <c r="F212" s="79" t="str">
        <f>INDEX(PT_DIFFERENTIATION_VTAR,MATCH(A212,PT_DIFFERENTIATION_VTAR_ID,0))</f>
        <v/>
      </c>
      <c r="G212" s="961" t="str">
        <f>INDEX(PT_DIFFERENTIATION_NTAR,MATCH(B212,PT_DIFFERENTIATION_NTAR_ID,0))</f>
        <v/>
      </c>
      <c r="H212" s="431"/>
      <c r="I212" s="1027"/>
      <c r="J212" s="1028"/>
      <c r="K212" s="447"/>
      <c r="L212" s="431" t="s">
        <v>308</v>
      </c>
      <c r="M212" s="289"/>
      <c r="N212" s="838"/>
      <c r="O212" s="129"/>
      <c r="P212" s="129"/>
      <c r="AH212" s="50">
        <v>0</v>
      </c>
    </row>
    <row r="213" s="50" customFormat="1" ht="18.75" hidden="1" customHeight="1">
      <c r="A213" s="143"/>
      <c r="B213" s="143"/>
      <c r="C213" s="409" t="s">
        <v>1147</v>
      </c>
      <c r="D213" s="1037"/>
      <c r="E213" s="359"/>
      <c r="F213" s="79"/>
      <c r="G213" s="961"/>
      <c r="H213" s="758"/>
      <c r="I213" s="177" t="s">
        <v>1146</v>
      </c>
      <c r="J213" s="235"/>
      <c r="K213" s="758"/>
      <c r="L213" s="889"/>
      <c r="M213" s="287"/>
      <c r="N213" s="838"/>
      <c r="O213" s="129"/>
      <c r="P213" s="129"/>
      <c r="AH213" s="50">
        <v>0</v>
      </c>
    </row>
    <row r="214" s="50" customFormat="1" ht="0.75" hidden="1" customHeight="1">
      <c r="A214" s="143"/>
      <c r="B214" s="143"/>
      <c r="C214" s="409" t="s">
        <v>1156</v>
      </c>
      <c r="D214" s="1037"/>
      <c r="E214" s="359"/>
      <c r="F214" s="79"/>
      <c r="G214" s="1036"/>
      <c r="H214" s="758"/>
      <c r="I214" s="177"/>
      <c r="J214" s="235"/>
      <c r="K214" s="758"/>
      <c r="L214" s="889"/>
      <c r="M214" s="1023"/>
      <c r="N214" s="838"/>
      <c r="O214" s="129"/>
      <c r="P214" s="129"/>
      <c r="AH214" s="50">
        <v>0</v>
      </c>
    </row>
    <row r="215" s="50" customFormat="1" ht="45" hidden="1" customHeight="1">
      <c r="A215" s="143" t="s">
        <v>166</v>
      </c>
      <c r="B215" s="143" t="s">
        <v>167</v>
      </c>
      <c r="C215" s="409"/>
      <c r="D215" s="1037"/>
      <c r="E215" s="359"/>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61" t="str">
        <f>INDEX(PT_DIFFERENTIATION_NTAR,MATCH(B215,PT_DIFFERENTIATION_NTAR_ID,0))</f>
        <v/>
      </c>
      <c r="H215" s="431"/>
      <c r="I215" s="1027"/>
      <c r="J215" s="1028"/>
      <c r="K215" s="447"/>
      <c r="L215" s="431" t="s">
        <v>308</v>
      </c>
      <c r="M215" s="1023"/>
      <c r="N215" s="838"/>
      <c r="O215" s="129"/>
      <c r="P215" s="129"/>
      <c r="AH215" s="50">
        <v>0</v>
      </c>
    </row>
    <row r="216" s="50" customFormat="1" ht="18.75" hidden="1" customHeight="1">
      <c r="A216" s="143"/>
      <c r="B216" s="143"/>
      <c r="C216" s="409" t="s">
        <v>1147</v>
      </c>
      <c r="D216" s="1037"/>
      <c r="E216" s="359"/>
      <c r="F216" s="79"/>
      <c r="G216" s="961"/>
      <c r="H216" s="758"/>
      <c r="I216" s="177" t="s">
        <v>1146</v>
      </c>
      <c r="J216" s="235"/>
      <c r="K216" s="758"/>
      <c r="L216" s="889"/>
      <c r="M216" s="1023"/>
      <c r="N216" s="838"/>
      <c r="O216" s="129"/>
      <c r="P216" s="129"/>
      <c r="AH216" s="50">
        <v>0</v>
      </c>
    </row>
    <row r="217" s="50" customFormat="1" ht="0.75" hidden="1" customHeight="1">
      <c r="A217" s="143"/>
      <c r="B217" s="143"/>
      <c r="C217" s="409" t="s">
        <v>1156</v>
      </c>
      <c r="D217" s="1037"/>
      <c r="E217" s="359"/>
      <c r="F217" s="79"/>
      <c r="G217" s="1036"/>
      <c r="H217" s="758"/>
      <c r="I217" s="177"/>
      <c r="J217" s="235"/>
      <c r="K217" s="758"/>
      <c r="L217" s="889"/>
      <c r="M217" s="1023"/>
      <c r="N217" s="838"/>
      <c r="O217" s="129"/>
      <c r="P217" s="129"/>
      <c r="AH217" s="50">
        <v>0</v>
      </c>
    </row>
    <row r="218" s="50" customFormat="1" ht="45" hidden="1" customHeight="1">
      <c r="A218" s="143" t="s">
        <v>172</v>
      </c>
      <c r="B218" s="143" t="s">
        <v>173</v>
      </c>
      <c r="C218" s="409"/>
      <c r="D218" s="1037"/>
      <c r="E218" s="359"/>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61" t="str">
        <f>INDEX(PT_DIFFERENTIATION_NTAR,MATCH(B218,PT_DIFFERENTIATION_NTAR_ID,0))</f>
        <v/>
      </c>
      <c r="H218" s="431"/>
      <c r="I218" s="1027"/>
      <c r="J218" s="1028"/>
      <c r="K218" s="447"/>
      <c r="L218" s="431" t="s">
        <v>308</v>
      </c>
      <c r="M218" s="1023"/>
      <c r="N218" s="838"/>
      <c r="O218" s="129"/>
      <c r="P218" s="129"/>
      <c r="AH218" s="50">
        <v>0</v>
      </c>
    </row>
    <row r="219" s="50" customFormat="1" ht="18.75" hidden="1" customHeight="1">
      <c r="A219" s="143"/>
      <c r="B219" s="143"/>
      <c r="C219" s="409" t="s">
        <v>1147</v>
      </c>
      <c r="D219" s="1037"/>
      <c r="E219" s="359"/>
      <c r="F219" s="79"/>
      <c r="G219" s="961"/>
      <c r="H219" s="758"/>
      <c r="I219" s="177" t="s">
        <v>1146</v>
      </c>
      <c r="J219" s="235"/>
      <c r="K219" s="758"/>
      <c r="L219" s="889"/>
      <c r="M219" s="1023"/>
      <c r="N219" s="838"/>
      <c r="O219" s="129"/>
      <c r="P219" s="129"/>
      <c r="AH219" s="50">
        <v>0</v>
      </c>
    </row>
    <row r="220" s="50" customFormat="1" ht="0.75" hidden="1" customHeight="1">
      <c r="A220" s="143"/>
      <c r="B220" s="143"/>
      <c r="C220" s="409" t="s">
        <v>1156</v>
      </c>
      <c r="D220" s="1037"/>
      <c r="E220" s="359"/>
      <c r="F220" s="79"/>
      <c r="G220" s="1036"/>
      <c r="H220" s="758"/>
      <c r="I220" s="177"/>
      <c r="J220" s="235"/>
      <c r="K220" s="758"/>
      <c r="L220" s="889"/>
      <c r="M220" s="1023"/>
      <c r="N220" s="838"/>
      <c r="O220" s="129"/>
      <c r="P220" s="129"/>
      <c r="AH220" s="50">
        <v>0</v>
      </c>
    </row>
    <row r="221" s="50" customFormat="1" ht="18.75" hidden="1" customHeight="1">
      <c r="A221" s="143" t="s">
        <v>178</v>
      </c>
      <c r="B221" s="143" t="s">
        <v>179</v>
      </c>
      <c r="C221" s="409"/>
      <c r="D221" s="1037"/>
      <c r="E221" s="359"/>
      <c r="F221" s="79" t="str">
        <f>INDEX(PT_DIFFERENTIATION_VTAR,MATCH(A221,PT_DIFFERENTIATION_VTAR_ID,0))</f>
        <v xml:space="preserve">Тарифы на услуги по передаче тепловой энергии</v>
      </c>
      <c r="G221" s="961" t="str">
        <f>INDEX(PT_DIFFERENTIATION_NTAR,MATCH(B221,PT_DIFFERENTIATION_NTAR_ID,0))</f>
        <v/>
      </c>
      <c r="H221" s="431"/>
      <c r="I221" s="1027"/>
      <c r="J221" s="1028"/>
      <c r="K221" s="447"/>
      <c r="L221" s="431" t="s">
        <v>308</v>
      </c>
      <c r="M221" s="1023"/>
      <c r="N221" s="838"/>
      <c r="O221" s="129"/>
      <c r="P221" s="129"/>
      <c r="AH221" s="50">
        <v>0</v>
      </c>
    </row>
    <row r="222" s="50" customFormat="1" ht="18.75" hidden="1" customHeight="1">
      <c r="A222" s="143"/>
      <c r="B222" s="143"/>
      <c r="C222" s="409" t="s">
        <v>1147</v>
      </c>
      <c r="D222" s="1037"/>
      <c r="E222" s="359"/>
      <c r="F222" s="79"/>
      <c r="G222" s="961"/>
      <c r="H222" s="758"/>
      <c r="I222" s="177" t="s">
        <v>1146</v>
      </c>
      <c r="J222" s="235"/>
      <c r="K222" s="758"/>
      <c r="L222" s="889"/>
      <c r="M222" s="1023"/>
      <c r="N222" s="838"/>
      <c r="O222" s="129"/>
      <c r="P222" s="129"/>
      <c r="AH222" s="50">
        <v>0</v>
      </c>
    </row>
    <row r="223" s="50" customFormat="1" ht="0.75" hidden="1" customHeight="1">
      <c r="A223" s="143"/>
      <c r="B223" s="143"/>
      <c r="C223" s="409" t="s">
        <v>1156</v>
      </c>
      <c r="D223" s="1037"/>
      <c r="E223" s="359"/>
      <c r="F223" s="79"/>
      <c r="G223" s="1036"/>
      <c r="H223" s="758"/>
      <c r="I223" s="177"/>
      <c r="J223" s="235"/>
      <c r="K223" s="758"/>
      <c r="L223" s="889"/>
      <c r="M223" s="1023"/>
      <c r="N223" s="838"/>
      <c r="O223" s="129"/>
      <c r="P223" s="129"/>
      <c r="AH223" s="50">
        <v>0</v>
      </c>
    </row>
    <row r="224" s="50" customFormat="1" ht="18.75" hidden="1" customHeight="1">
      <c r="A224" s="143" t="s">
        <v>184</v>
      </c>
      <c r="B224" s="143" t="s">
        <v>185</v>
      </c>
      <c r="C224" s="409"/>
      <c r="D224" s="1037"/>
      <c r="E224" s="359"/>
      <c r="F224" s="79" t="str">
        <f>INDEX(PT_DIFFERENTIATION_VTAR,MATCH(A224,PT_DIFFERENTIATION_VTAR_ID,0))</f>
        <v xml:space="preserve">Тарифы на услуги по передаче теплоносителя</v>
      </c>
      <c r="G224" s="961" t="str">
        <f>INDEX(PT_DIFFERENTIATION_NTAR,MATCH(B224,PT_DIFFERENTIATION_NTAR_ID,0))</f>
        <v/>
      </c>
      <c r="H224" s="431"/>
      <c r="I224" s="1027"/>
      <c r="J224" s="1028"/>
      <c r="K224" s="447"/>
      <c r="L224" s="431" t="s">
        <v>308</v>
      </c>
      <c r="M224" s="1023"/>
      <c r="N224" s="838"/>
      <c r="O224" s="129"/>
      <c r="P224" s="129"/>
      <c r="AH224" s="50">
        <v>0</v>
      </c>
    </row>
    <row r="225" s="50" customFormat="1" ht="18.75" hidden="1" customHeight="1">
      <c r="A225" s="143"/>
      <c r="B225" s="143"/>
      <c r="C225" s="409" t="s">
        <v>1147</v>
      </c>
      <c r="D225" s="1037"/>
      <c r="E225" s="359"/>
      <c r="F225" s="79"/>
      <c r="G225" s="961"/>
      <c r="H225" s="758"/>
      <c r="I225" s="177" t="s">
        <v>1146</v>
      </c>
      <c r="J225" s="235"/>
      <c r="K225" s="758"/>
      <c r="L225" s="889"/>
      <c r="M225" s="1023"/>
      <c r="N225" s="838"/>
      <c r="O225" s="129"/>
      <c r="P225" s="129"/>
      <c r="AH225" s="50">
        <v>0</v>
      </c>
    </row>
    <row r="226" s="50" customFormat="1" ht="0.75" hidden="1" customHeight="1">
      <c r="A226" s="143"/>
      <c r="B226" s="143"/>
      <c r="C226" s="409" t="s">
        <v>1156</v>
      </c>
      <c r="D226" s="1037"/>
      <c r="E226" s="359"/>
      <c r="F226" s="79"/>
      <c r="G226" s="1036"/>
      <c r="H226" s="758"/>
      <c r="I226" s="177"/>
      <c r="J226" s="235"/>
      <c r="K226" s="758"/>
      <c r="L226" s="889"/>
      <c r="M226" s="1023"/>
      <c r="N226" s="838"/>
      <c r="O226" s="129"/>
      <c r="P226" s="129"/>
      <c r="AH226" s="50">
        <v>0</v>
      </c>
    </row>
    <row r="227" s="50" customFormat="1" ht="18.75" hidden="1" customHeight="1">
      <c r="A227" s="143" t="s">
        <v>190</v>
      </c>
      <c r="B227" s="143" t="s">
        <v>191</v>
      </c>
      <c r="C227" s="409"/>
      <c r="D227" s="1037"/>
      <c r="E227" s="359"/>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61" t="str">
        <f>INDEX(PT_DIFFERENTIATION_NTAR,MATCH(B227,PT_DIFFERENTIATION_NTAR_ID,0))</f>
        <v/>
      </c>
      <c r="H227" s="431"/>
      <c r="I227" s="1027"/>
      <c r="J227" s="1028"/>
      <c r="K227" s="447"/>
      <c r="L227" s="431" t="s">
        <v>308</v>
      </c>
      <c r="M227" s="1023"/>
      <c r="N227" s="838"/>
      <c r="O227" s="129"/>
      <c r="P227" s="129"/>
      <c r="AH227" s="50">
        <v>0</v>
      </c>
    </row>
    <row r="228" s="50" customFormat="1" ht="18.75" hidden="1" customHeight="1">
      <c r="A228" s="143"/>
      <c r="B228" s="143"/>
      <c r="C228" s="409" t="s">
        <v>1147</v>
      </c>
      <c r="D228" s="1037"/>
      <c r="E228" s="359"/>
      <c r="F228" s="79"/>
      <c r="G228" s="961"/>
      <c r="H228" s="758"/>
      <c r="I228" s="177" t="s">
        <v>1146</v>
      </c>
      <c r="J228" s="235"/>
      <c r="K228" s="758"/>
      <c r="L228" s="889"/>
      <c r="M228" s="1023"/>
      <c r="N228" s="838"/>
      <c r="O228" s="129"/>
      <c r="P228" s="129"/>
      <c r="AH228" s="50">
        <v>0</v>
      </c>
    </row>
    <row r="229" s="50" customFormat="1" ht="0.75" hidden="1" customHeight="1">
      <c r="A229" s="143"/>
      <c r="B229" s="143"/>
      <c r="C229" s="409" t="s">
        <v>1156</v>
      </c>
      <c r="D229" s="1037"/>
      <c r="E229" s="359"/>
      <c r="F229" s="79"/>
      <c r="G229" s="1036"/>
      <c r="H229" s="758"/>
      <c r="I229" s="177"/>
      <c r="J229" s="235"/>
      <c r="K229" s="758"/>
      <c r="L229" s="889"/>
      <c r="M229" s="1023"/>
      <c r="N229" s="838"/>
      <c r="O229" s="129"/>
      <c r="P229" s="129"/>
      <c r="AH229" s="50">
        <v>0</v>
      </c>
    </row>
    <row r="230" s="50" customFormat="1" ht="18.75" hidden="1" customHeight="1">
      <c r="A230" s="143" t="s">
        <v>196</v>
      </c>
      <c r="B230" s="143" t="s">
        <v>197</v>
      </c>
      <c r="C230" s="409"/>
      <c r="D230" s="1037"/>
      <c r="E230" s="359"/>
      <c r="F230" s="79" t="str">
        <f>INDEX(PT_DIFFERENTIATION_VTAR,MATCH(A230,PT_DIFFERENTIATION_VTAR_ID,0))</f>
        <v xml:space="preserve">Плата за подключение (технологическое присоединение) к системе теплоснабжения</v>
      </c>
      <c r="G230" s="961" t="str">
        <f>INDEX(PT_DIFFERENTIATION_NTAR,MATCH(B230,PT_DIFFERENTIATION_NTAR_ID,0))</f>
        <v/>
      </c>
      <c r="H230" s="431"/>
      <c r="I230" s="1027"/>
      <c r="J230" s="1028"/>
      <c r="K230" s="447"/>
      <c r="L230" s="431" t="s">
        <v>308</v>
      </c>
      <c r="M230" s="1023"/>
      <c r="N230" s="838"/>
      <c r="O230" s="129"/>
      <c r="P230" s="129"/>
      <c r="AH230" s="50">
        <v>0</v>
      </c>
    </row>
    <row r="231" s="50" customFormat="1" ht="18.75" hidden="1" customHeight="1">
      <c r="A231" s="143"/>
      <c r="B231" s="143"/>
      <c r="C231" s="409" t="s">
        <v>1147</v>
      </c>
      <c r="D231" s="1037"/>
      <c r="E231" s="359"/>
      <c r="F231" s="79"/>
      <c r="G231" s="961"/>
      <c r="H231" s="758"/>
      <c r="I231" s="177" t="s">
        <v>1146</v>
      </c>
      <c r="J231" s="235"/>
      <c r="K231" s="758"/>
      <c r="L231" s="889"/>
      <c r="M231" s="1023"/>
      <c r="N231" s="838"/>
      <c r="O231" s="129"/>
      <c r="P231" s="129"/>
      <c r="AH231" s="50">
        <v>0</v>
      </c>
    </row>
    <row r="232" s="50" customFormat="1" ht="0.75" hidden="1" customHeight="1">
      <c r="A232" s="143"/>
      <c r="B232" s="143"/>
      <c r="C232" s="409" t="s">
        <v>1156</v>
      </c>
      <c r="D232" s="1037"/>
      <c r="E232" s="359"/>
      <c r="F232" s="79"/>
      <c r="G232" s="1036"/>
      <c r="H232" s="758"/>
      <c r="I232" s="177"/>
      <c r="J232" s="235"/>
      <c r="K232" s="758"/>
      <c r="L232" s="889"/>
      <c r="M232" s="1023"/>
      <c r="N232" s="838"/>
      <c r="O232" s="129"/>
      <c r="P232" s="129"/>
      <c r="AH232" s="50">
        <v>0</v>
      </c>
    </row>
    <row r="233" s="50" customFormat="1" ht="18.75" hidden="1" customHeight="1">
      <c r="A233" s="143" t="s">
        <v>202</v>
      </c>
      <c r="B233" s="143" t="s">
        <v>203</v>
      </c>
      <c r="C233" s="409"/>
      <c r="D233" s="1037"/>
      <c r="E233" s="359"/>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61" t="str">
        <f>INDEX(PT_DIFFERENTIATION_NTAR,MATCH(B233,PT_DIFFERENTIATION_NTAR_ID,0))</f>
        <v/>
      </c>
      <c r="H233" s="431"/>
      <c r="I233" s="1027"/>
      <c r="J233" s="1028"/>
      <c r="K233" s="447"/>
      <c r="L233" s="431" t="s">
        <v>308</v>
      </c>
      <c r="M233" s="1023"/>
      <c r="N233" s="838"/>
      <c r="O233" s="129"/>
      <c r="P233" s="129"/>
      <c r="AH233" s="50">
        <v>0</v>
      </c>
    </row>
    <row r="234" s="50" customFormat="1" ht="18.75" hidden="1" customHeight="1">
      <c r="A234" s="143"/>
      <c r="B234" s="143"/>
      <c r="C234" s="409" t="s">
        <v>1147</v>
      </c>
      <c r="D234" s="1037"/>
      <c r="E234" s="359"/>
      <c r="F234" s="79"/>
      <c r="G234" s="961"/>
      <c r="H234" s="758"/>
      <c r="I234" s="177" t="s">
        <v>1146</v>
      </c>
      <c r="J234" s="235"/>
      <c r="K234" s="758"/>
      <c r="L234" s="889"/>
      <c r="M234" s="1023"/>
      <c r="N234" s="838"/>
      <c r="O234" s="129"/>
      <c r="P234" s="129"/>
      <c r="AH234" s="50">
        <v>0</v>
      </c>
    </row>
    <row r="235" s="50" customFormat="1" ht="0.75" hidden="1" customHeight="1">
      <c r="A235" s="143"/>
      <c r="B235" s="143"/>
      <c r="C235" s="409" t="s">
        <v>1156</v>
      </c>
      <c r="D235" s="1037"/>
      <c r="E235" s="359"/>
      <c r="F235" s="79"/>
      <c r="G235" s="1036"/>
      <c r="H235" s="758"/>
      <c r="I235" s="177"/>
      <c r="J235" s="235"/>
      <c r="K235" s="758"/>
      <c r="L235" s="889"/>
      <c r="M235" s="1023"/>
      <c r="N235" s="838"/>
      <c r="O235" s="129"/>
      <c r="P235" s="129"/>
      <c r="AH235" s="50">
        <v>0</v>
      </c>
    </row>
    <row r="236" s="50" customFormat="1" ht="18.75" hidden="1" customHeight="1">
      <c r="A236" s="143" t="s">
        <v>222</v>
      </c>
      <c r="B236" s="143" t="s">
        <v>223</v>
      </c>
      <c r="C236" s="409"/>
      <c r="D236" s="1037"/>
      <c r="E236" s="359"/>
      <c r="F236" s="79" t="str">
        <f>INDEX(PT_DIFFERENTIATION_VTAR,MATCH(A236,PT_DIFFERENTIATION_VTAR_ID,0))</f>
        <v xml:space="preserve">Тариф на питьевую воду (питьевое водоснабжение)</v>
      </c>
      <c r="G236" s="961" t="str">
        <f>INDEX(PT_DIFFERENTIATION_NTAR,MATCH(B236,PT_DIFFERENTIATION_NTAR_ID,0))</f>
        <v/>
      </c>
      <c r="H236" s="431"/>
      <c r="I236" s="1027"/>
      <c r="J236" s="1028"/>
      <c r="K236" s="447"/>
      <c r="L236" s="431" t="s">
        <v>308</v>
      </c>
      <c r="M236" s="1023"/>
      <c r="N236" s="838"/>
      <c r="O236" s="129"/>
      <c r="P236" s="129"/>
      <c r="AH236" s="50">
        <v>0</v>
      </c>
    </row>
    <row r="237" s="50" customFormat="1" ht="18.75" hidden="1" customHeight="1">
      <c r="A237" s="143"/>
      <c r="B237" s="143"/>
      <c r="C237" s="409" t="s">
        <v>1147</v>
      </c>
      <c r="D237" s="1037"/>
      <c r="E237" s="359"/>
      <c r="F237" s="79"/>
      <c r="G237" s="961"/>
      <c r="H237" s="758"/>
      <c r="I237" s="177" t="s">
        <v>1146</v>
      </c>
      <c r="J237" s="235"/>
      <c r="K237" s="758"/>
      <c r="L237" s="889"/>
      <c r="M237" s="1023"/>
      <c r="N237" s="838"/>
      <c r="O237" s="129"/>
      <c r="P237" s="129"/>
      <c r="AH237" s="50">
        <v>0</v>
      </c>
    </row>
    <row r="238" s="50" customFormat="1" ht="0.75" hidden="1" customHeight="1">
      <c r="A238" s="143"/>
      <c r="B238" s="143"/>
      <c r="C238" s="409" t="s">
        <v>1156</v>
      </c>
      <c r="D238" s="1037"/>
      <c r="E238" s="359"/>
      <c r="F238" s="79"/>
      <c r="G238" s="1036"/>
      <c r="H238" s="758"/>
      <c r="I238" s="177"/>
      <c r="J238" s="235"/>
      <c r="K238" s="758"/>
      <c r="L238" s="889"/>
      <c r="M238" s="1023"/>
      <c r="N238" s="838"/>
      <c r="O238" s="129"/>
      <c r="P238" s="129"/>
      <c r="AH238" s="50">
        <v>0</v>
      </c>
    </row>
    <row r="239" s="50" customFormat="1" ht="18.75" hidden="1" customHeight="1">
      <c r="A239" s="143" t="s">
        <v>227</v>
      </c>
      <c r="B239" s="143" t="s">
        <v>228</v>
      </c>
      <c r="C239" s="409"/>
      <c r="D239" s="1037"/>
      <c r="E239" s="359"/>
      <c r="F239" s="79" t="str">
        <f>INDEX(PT_DIFFERENTIATION_VTAR,MATCH(A239,PT_DIFFERENTIATION_VTAR_ID,0))</f>
        <v xml:space="preserve">Тариф на техническую воду</v>
      </c>
      <c r="G239" s="961" t="str">
        <f>INDEX(PT_DIFFERENTIATION_NTAR,MATCH(B239,PT_DIFFERENTIATION_NTAR_ID,0))</f>
        <v/>
      </c>
      <c r="H239" s="431"/>
      <c r="I239" s="1027"/>
      <c r="J239" s="1028"/>
      <c r="K239" s="447"/>
      <c r="L239" s="431" t="s">
        <v>308</v>
      </c>
      <c r="M239" s="1023"/>
      <c r="N239" s="838"/>
      <c r="O239" s="129"/>
      <c r="P239" s="129"/>
      <c r="AH239" s="50">
        <v>0</v>
      </c>
    </row>
    <row r="240" s="50" customFormat="1" ht="18.75" hidden="1" customHeight="1">
      <c r="A240" s="143"/>
      <c r="B240" s="143"/>
      <c r="C240" s="409" t="s">
        <v>1147</v>
      </c>
      <c r="D240" s="1037"/>
      <c r="E240" s="359"/>
      <c r="F240" s="79"/>
      <c r="G240" s="961"/>
      <c r="H240" s="758"/>
      <c r="I240" s="177" t="s">
        <v>1146</v>
      </c>
      <c r="J240" s="235"/>
      <c r="K240" s="758"/>
      <c r="L240" s="889"/>
      <c r="M240" s="1023"/>
      <c r="N240" s="838"/>
      <c r="O240" s="129"/>
      <c r="P240" s="129"/>
      <c r="AH240" s="50">
        <v>0</v>
      </c>
    </row>
    <row r="241" s="50" customFormat="1" ht="0.75" hidden="1" customHeight="1">
      <c r="A241" s="143"/>
      <c r="B241" s="143"/>
      <c r="C241" s="409" t="s">
        <v>1156</v>
      </c>
      <c r="D241" s="1037"/>
      <c r="E241" s="359"/>
      <c r="F241" s="79"/>
      <c r="G241" s="1036"/>
      <c r="H241" s="758"/>
      <c r="I241" s="177"/>
      <c r="J241" s="235"/>
      <c r="K241" s="758"/>
      <c r="L241" s="889"/>
      <c r="M241" s="1023"/>
      <c r="N241" s="838"/>
      <c r="O241" s="129"/>
      <c r="P241" s="129"/>
      <c r="AH241" s="50">
        <v>0</v>
      </c>
    </row>
    <row r="242" s="50" customFormat="1" ht="18.75" customHeight="1">
      <c r="A242" s="143" t="s">
        <v>234</v>
      </c>
      <c r="B242" s="143" t="s">
        <v>235</v>
      </c>
      <c r="C242" s="409"/>
      <c r="D242" s="1037"/>
      <c r="E242" s="359"/>
      <c r="F242" s="79" t="str">
        <f>INDEX(PT_DIFFERENTIATION_VTAR,MATCH(A242,PT_DIFFERENTIATION_VTAR_ID,0))</f>
        <v xml:space="preserve">Тариф на транспортировку воды</v>
      </c>
      <c r="G242" s="961" t="str">
        <f>INDEX(PT_DIFFERENTIATION_NTAR,MATCH(B242,PT_DIFFERENTIATION_NTAR_ID,0))</f>
        <v xml:space="preserve">Тариф на транспортировку питьевой воды</v>
      </c>
      <c r="H242" s="431"/>
      <c r="I242" s="1027">
        <v>45658</v>
      </c>
      <c r="J242" s="1028">
        <v>46022</v>
      </c>
      <c r="K242" s="447">
        <v>0</v>
      </c>
      <c r="L242" s="431" t="s">
        <v>308</v>
      </c>
      <c r="M242" s="1023"/>
      <c r="N242" s="838"/>
      <c r="O242" s="129"/>
      <c r="P242" s="129"/>
      <c r="AH242" s="50">
        <v>0</v>
      </c>
    </row>
    <row r="243" s="50" customFormat="1" ht="18.75" customHeight="1">
      <c r="A243" s="143"/>
      <c r="B243" s="143"/>
      <c r="C243" s="409" t="s">
        <v>1147</v>
      </c>
      <c r="D243" s="1037"/>
      <c r="E243" s="359"/>
      <c r="F243" s="79"/>
      <c r="G243" s="961"/>
      <c r="H243" s="758"/>
      <c r="I243" s="177" t="s">
        <v>1146</v>
      </c>
      <c r="J243" s="235"/>
      <c r="K243" s="758"/>
      <c r="L243" s="889"/>
      <c r="M243" s="1023"/>
      <c r="N243" s="838"/>
      <c r="O243" s="129"/>
      <c r="P243" s="129"/>
      <c r="AH243" s="50">
        <v>0</v>
      </c>
    </row>
    <row r="244" s="50" customFormat="1" ht="0.75" customHeight="1">
      <c r="A244" s="143"/>
      <c r="B244" s="143"/>
      <c r="C244" s="409" t="s">
        <v>1156</v>
      </c>
      <c r="D244" s="1037"/>
      <c r="E244" s="359"/>
      <c r="F244" s="79"/>
      <c r="G244" s="1036"/>
      <c r="H244" s="758"/>
      <c r="I244" s="177"/>
      <c r="J244" s="235"/>
      <c r="K244" s="758"/>
      <c r="L244" s="889"/>
      <c r="M244" s="1023"/>
      <c r="N244" s="838"/>
      <c r="O244" s="129"/>
      <c r="P244" s="129"/>
      <c r="AH244" s="50">
        <v>0</v>
      </c>
    </row>
    <row r="245" s="50" customFormat="1" ht="18.75" hidden="1" customHeight="1">
      <c r="A245" s="143" t="s">
        <v>242</v>
      </c>
      <c r="B245" s="143" t="s">
        <v>243</v>
      </c>
      <c r="C245" s="409"/>
      <c r="D245" s="1037"/>
      <c r="E245" s="359"/>
      <c r="F245" s="79" t="str">
        <f>INDEX(PT_DIFFERENTIATION_VTAR,MATCH(A245,PT_DIFFERENTIATION_VTAR_ID,0))</f>
        <v xml:space="preserve">Тариф на подвоз воды</v>
      </c>
      <c r="G245" s="961" t="str">
        <f>INDEX(PT_DIFFERENTIATION_NTAR,MATCH(B245,PT_DIFFERENTIATION_NTAR_ID,0))</f>
        <v/>
      </c>
      <c r="H245" s="431"/>
      <c r="I245" s="1027"/>
      <c r="J245" s="1028"/>
      <c r="K245" s="447"/>
      <c r="L245" s="431" t="s">
        <v>308</v>
      </c>
      <c r="M245" s="1023"/>
      <c r="N245" s="838"/>
      <c r="O245" s="129"/>
      <c r="P245" s="129"/>
      <c r="AH245" s="50">
        <v>0</v>
      </c>
    </row>
    <row r="246" s="50" customFormat="1" ht="18.75" hidden="1" customHeight="1">
      <c r="A246" s="143"/>
      <c r="B246" s="143"/>
      <c r="C246" s="409" t="s">
        <v>1147</v>
      </c>
      <c r="D246" s="1037"/>
      <c r="E246" s="359"/>
      <c r="F246" s="79"/>
      <c r="G246" s="961"/>
      <c r="H246" s="758"/>
      <c r="I246" s="177" t="s">
        <v>1146</v>
      </c>
      <c r="J246" s="235"/>
      <c r="K246" s="758"/>
      <c r="L246" s="889"/>
      <c r="M246" s="1023"/>
      <c r="N246" s="838"/>
      <c r="O246" s="129"/>
      <c r="P246" s="129"/>
      <c r="AH246" s="50">
        <v>0</v>
      </c>
    </row>
    <row r="247" s="50" customFormat="1" ht="0.75" hidden="1" customHeight="1">
      <c r="A247" s="143"/>
      <c r="B247" s="143"/>
      <c r="C247" s="409" t="s">
        <v>1156</v>
      </c>
      <c r="D247" s="1037"/>
      <c r="E247" s="359"/>
      <c r="F247" s="79"/>
      <c r="G247" s="1036"/>
      <c r="H247" s="758"/>
      <c r="I247" s="177"/>
      <c r="J247" s="235"/>
      <c r="K247" s="758"/>
      <c r="L247" s="889"/>
      <c r="M247" s="1023"/>
      <c r="N247" s="838"/>
      <c r="O247" s="129"/>
      <c r="P247" s="129"/>
      <c r="AH247" s="50">
        <v>0</v>
      </c>
    </row>
    <row r="248" s="50" customFormat="1" ht="18.75" hidden="1" customHeight="1">
      <c r="A248" s="143" t="s">
        <v>247</v>
      </c>
      <c r="B248" s="143" t="s">
        <v>248</v>
      </c>
      <c r="C248" s="409"/>
      <c r="D248" s="1037"/>
      <c r="E248" s="359"/>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61" t="str">
        <f>INDEX(PT_DIFFERENTIATION_NTAR,MATCH(B248,PT_DIFFERENTIATION_NTAR_ID,0))</f>
        <v/>
      </c>
      <c r="H248" s="431"/>
      <c r="I248" s="1027"/>
      <c r="J248" s="1028"/>
      <c r="K248" s="447"/>
      <c r="L248" s="431" t="s">
        <v>308</v>
      </c>
      <c r="M248" s="1023"/>
      <c r="N248" s="838"/>
      <c r="O248" s="129"/>
      <c r="P248" s="129"/>
      <c r="AH248" s="50">
        <v>0</v>
      </c>
    </row>
    <row r="249" s="50" customFormat="1" ht="18.75" hidden="1" customHeight="1">
      <c r="A249" s="143"/>
      <c r="B249" s="143"/>
      <c r="C249" s="409" t="s">
        <v>1147</v>
      </c>
      <c r="D249" s="1037"/>
      <c r="E249" s="359"/>
      <c r="F249" s="79"/>
      <c r="G249" s="961"/>
      <c r="H249" s="758"/>
      <c r="I249" s="177" t="s">
        <v>1146</v>
      </c>
      <c r="J249" s="235"/>
      <c r="K249" s="758"/>
      <c r="L249" s="889"/>
      <c r="M249" s="1023"/>
      <c r="N249" s="838"/>
      <c r="O249" s="129"/>
      <c r="P249" s="129"/>
      <c r="AH249" s="50">
        <v>0</v>
      </c>
    </row>
    <row r="250" s="50" customFormat="1" ht="0.75" hidden="1" customHeight="1">
      <c r="A250" s="143"/>
      <c r="B250" s="143"/>
      <c r="C250" s="409" t="s">
        <v>1156</v>
      </c>
      <c r="D250" s="1037"/>
      <c r="E250" s="359"/>
      <c r="F250" s="79"/>
      <c r="G250" s="1036"/>
      <c r="H250" s="758"/>
      <c r="I250" s="177"/>
      <c r="J250" s="235"/>
      <c r="K250" s="758"/>
      <c r="L250" s="889"/>
      <c r="M250" s="1023"/>
      <c r="N250" s="838"/>
      <c r="O250" s="129"/>
      <c r="P250" s="129"/>
      <c r="AH250" s="50">
        <v>0</v>
      </c>
    </row>
    <row r="251" s="50" customFormat="1" ht="18.75" hidden="1" customHeight="1">
      <c r="A251" s="143" t="s">
        <v>252</v>
      </c>
      <c r="B251" s="143" t="s">
        <v>253</v>
      </c>
      <c r="C251" s="409"/>
      <c r="D251" s="1037"/>
      <c r="E251" s="359"/>
      <c r="F251" s="79" t="str">
        <f>INDEX(PT_DIFFERENTIATION_VTAR,MATCH(A251,PT_DIFFERENTIATION_VTAR_ID,0))</f>
        <v xml:space="preserve">Тариф на горячую воду (горячее водоснабжение)</v>
      </c>
      <c r="G251" s="961" t="str">
        <f>INDEX(PT_DIFFERENTIATION_NTAR,MATCH(B251,PT_DIFFERENTIATION_NTAR_ID,0))</f>
        <v/>
      </c>
      <c r="H251" s="431"/>
      <c r="I251" s="1027"/>
      <c r="J251" s="1028"/>
      <c r="K251" s="447"/>
      <c r="L251" s="431" t="s">
        <v>308</v>
      </c>
      <c r="M251" s="1023"/>
      <c r="N251" s="838"/>
      <c r="O251" s="129"/>
      <c r="P251" s="129"/>
      <c r="AH251" s="50">
        <v>0</v>
      </c>
    </row>
    <row r="252" s="50" customFormat="1" ht="18.75" hidden="1" customHeight="1">
      <c r="A252" s="143"/>
      <c r="B252" s="143"/>
      <c r="C252" s="409" t="s">
        <v>1147</v>
      </c>
      <c r="D252" s="1037"/>
      <c r="E252" s="359"/>
      <c r="F252" s="79"/>
      <c r="G252" s="961"/>
      <c r="H252" s="758"/>
      <c r="I252" s="177" t="s">
        <v>1146</v>
      </c>
      <c r="J252" s="235"/>
      <c r="K252" s="758"/>
      <c r="L252" s="889"/>
      <c r="M252" s="1023"/>
      <c r="N252" s="838"/>
      <c r="O252" s="129"/>
      <c r="P252" s="129"/>
      <c r="AH252" s="50">
        <v>0</v>
      </c>
    </row>
    <row r="253" s="50" customFormat="1" ht="0.75" hidden="1" customHeight="1">
      <c r="A253" s="143"/>
      <c r="B253" s="143"/>
      <c r="C253" s="409" t="s">
        <v>1156</v>
      </c>
      <c r="D253" s="1037"/>
      <c r="E253" s="359"/>
      <c r="F253" s="79"/>
      <c r="G253" s="1036"/>
      <c r="H253" s="758"/>
      <c r="I253" s="177"/>
      <c r="J253" s="235"/>
      <c r="K253" s="758"/>
      <c r="L253" s="889"/>
      <c r="M253" s="1023"/>
      <c r="N253" s="838"/>
      <c r="O253" s="129"/>
      <c r="P253" s="129"/>
      <c r="AH253" s="50">
        <v>0</v>
      </c>
    </row>
    <row r="254" s="50" customFormat="1" ht="18.75" hidden="1" customHeight="1">
      <c r="A254" s="143" t="s">
        <v>257</v>
      </c>
      <c r="B254" s="143" t="s">
        <v>258</v>
      </c>
      <c r="C254" s="409"/>
      <c r="D254" s="1037"/>
      <c r="E254" s="359"/>
      <c r="F254" s="79" t="str">
        <f>INDEX(PT_DIFFERENTIATION_VTAR,MATCH(A254,PT_DIFFERENTIATION_VTAR_ID,0))</f>
        <v xml:space="preserve">Тариф на транспортировку горячей воды</v>
      </c>
      <c r="G254" s="961" t="str">
        <f>INDEX(PT_DIFFERENTIATION_NTAR,MATCH(B254,PT_DIFFERENTIATION_NTAR_ID,0))</f>
        <v/>
      </c>
      <c r="H254" s="431"/>
      <c r="I254" s="1027"/>
      <c r="J254" s="1028"/>
      <c r="K254" s="447"/>
      <c r="L254" s="431" t="s">
        <v>308</v>
      </c>
      <c r="M254" s="1023"/>
      <c r="N254" s="838"/>
      <c r="O254" s="129"/>
      <c r="P254" s="129"/>
      <c r="AH254" s="50">
        <v>0</v>
      </c>
    </row>
    <row r="255" s="50" customFormat="1" ht="18.75" hidden="1" customHeight="1">
      <c r="A255" s="143"/>
      <c r="B255" s="143"/>
      <c r="C255" s="409" t="s">
        <v>1147</v>
      </c>
      <c r="D255" s="1037"/>
      <c r="E255" s="359"/>
      <c r="F255" s="79"/>
      <c r="G255" s="961"/>
      <c r="H255" s="758"/>
      <c r="I255" s="177" t="s">
        <v>1146</v>
      </c>
      <c r="J255" s="235"/>
      <c r="K255" s="758"/>
      <c r="L255" s="889"/>
      <c r="M255" s="1023"/>
      <c r="N255" s="838"/>
      <c r="O255" s="129"/>
      <c r="P255" s="129"/>
      <c r="AH255" s="50">
        <v>0</v>
      </c>
    </row>
    <row r="256" s="50" customFormat="1" ht="0.75" hidden="1" customHeight="1">
      <c r="A256" s="143"/>
      <c r="B256" s="143"/>
      <c r="C256" s="409" t="s">
        <v>1156</v>
      </c>
      <c r="D256" s="1037"/>
      <c r="E256" s="359"/>
      <c r="F256" s="79"/>
      <c r="G256" s="1036"/>
      <c r="H256" s="758"/>
      <c r="I256" s="177"/>
      <c r="J256" s="235"/>
      <c r="K256" s="758"/>
      <c r="L256" s="889"/>
      <c r="M256" s="1023"/>
      <c r="N256" s="838"/>
      <c r="O256" s="129"/>
      <c r="P256" s="129"/>
      <c r="AH256" s="50">
        <v>0</v>
      </c>
    </row>
    <row r="257" s="50" customFormat="1" ht="18.75" hidden="1" customHeight="1">
      <c r="A257" s="143" t="s">
        <v>262</v>
      </c>
      <c r="B257" s="143" t="s">
        <v>263</v>
      </c>
      <c r="C257" s="409"/>
      <c r="D257" s="1037"/>
      <c r="E257" s="359"/>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61" t="str">
        <f>INDEX(PT_DIFFERENTIATION_NTAR,MATCH(B257,PT_DIFFERENTIATION_NTAR_ID,0))</f>
        <v/>
      </c>
      <c r="H257" s="431"/>
      <c r="I257" s="1027"/>
      <c r="J257" s="1028"/>
      <c r="K257" s="447"/>
      <c r="L257" s="431" t="s">
        <v>308</v>
      </c>
      <c r="M257" s="1023"/>
      <c r="N257" s="838"/>
      <c r="O257" s="129"/>
      <c r="P257" s="129"/>
      <c r="AH257" s="50">
        <v>0</v>
      </c>
    </row>
    <row r="258" s="50" customFormat="1" ht="18.75" hidden="1" customHeight="1">
      <c r="A258" s="143"/>
      <c r="B258" s="143"/>
      <c r="C258" s="409" t="s">
        <v>1147</v>
      </c>
      <c r="D258" s="1037"/>
      <c r="E258" s="359"/>
      <c r="F258" s="79"/>
      <c r="G258" s="961"/>
      <c r="H258" s="758"/>
      <c r="I258" s="177" t="s">
        <v>1146</v>
      </c>
      <c r="J258" s="235"/>
      <c r="K258" s="758"/>
      <c r="L258" s="889"/>
      <c r="M258" s="1023"/>
      <c r="N258" s="838"/>
      <c r="O258" s="129"/>
      <c r="P258" s="129"/>
      <c r="AH258" s="50">
        <v>0</v>
      </c>
    </row>
    <row r="259" s="50" customFormat="1" ht="0.75" hidden="1" customHeight="1">
      <c r="A259" s="143"/>
      <c r="B259" s="143"/>
      <c r="C259" s="409" t="s">
        <v>1156</v>
      </c>
      <c r="D259" s="1037"/>
      <c r="E259" s="359"/>
      <c r="F259" s="79"/>
      <c r="G259" s="1036"/>
      <c r="H259" s="758"/>
      <c r="I259" s="177"/>
      <c r="J259" s="235"/>
      <c r="K259" s="758"/>
      <c r="L259" s="889"/>
      <c r="M259" s="1023"/>
      <c r="N259" s="838"/>
      <c r="O259" s="129"/>
      <c r="P259" s="129"/>
      <c r="AH259" s="50">
        <v>0</v>
      </c>
    </row>
    <row r="260" s="50" customFormat="1" ht="18.75" hidden="1" customHeight="1">
      <c r="A260" s="143" t="s">
        <v>267</v>
      </c>
      <c r="B260" s="143" t="s">
        <v>268</v>
      </c>
      <c r="C260" s="409"/>
      <c r="D260" s="1037"/>
      <c r="E260" s="359"/>
      <c r="F260" s="79" t="str">
        <f>INDEX(PT_DIFFERENTIATION_VTAR,MATCH(A260,PT_DIFFERENTIATION_VTAR_ID,0))</f>
        <v xml:space="preserve">Тариф на водоотведение</v>
      </c>
      <c r="G260" s="961" t="str">
        <f>INDEX(PT_DIFFERENTIATION_NTAR,MATCH(B260,PT_DIFFERENTIATION_NTAR_ID,0))</f>
        <v/>
      </c>
      <c r="H260" s="431"/>
      <c r="I260" s="1027"/>
      <c r="J260" s="1028"/>
      <c r="K260" s="447"/>
      <c r="L260" s="431" t="s">
        <v>308</v>
      </c>
      <c r="M260" s="1023"/>
      <c r="N260" s="838"/>
      <c r="O260" s="129"/>
      <c r="P260" s="129"/>
      <c r="AH260" s="50">
        <v>0</v>
      </c>
    </row>
    <row r="261" s="50" customFormat="1" ht="18.75" hidden="1" customHeight="1">
      <c r="A261" s="143"/>
      <c r="B261" s="143"/>
      <c r="C261" s="409" t="s">
        <v>1147</v>
      </c>
      <c r="D261" s="1037"/>
      <c r="E261" s="359"/>
      <c r="F261" s="79"/>
      <c r="G261" s="961"/>
      <c r="H261" s="758"/>
      <c r="I261" s="177" t="s">
        <v>1146</v>
      </c>
      <c r="J261" s="235"/>
      <c r="K261" s="758"/>
      <c r="L261" s="889"/>
      <c r="M261" s="1023"/>
      <c r="N261" s="838"/>
      <c r="O261" s="129"/>
      <c r="P261" s="129"/>
      <c r="AH261" s="50">
        <v>0</v>
      </c>
    </row>
    <row r="262" s="50" customFormat="1" ht="0.75" hidden="1" customHeight="1">
      <c r="A262" s="143"/>
      <c r="B262" s="143"/>
      <c r="C262" s="409" t="s">
        <v>1156</v>
      </c>
      <c r="D262" s="1037"/>
      <c r="E262" s="359"/>
      <c r="F262" s="79"/>
      <c r="G262" s="1036"/>
      <c r="H262" s="758"/>
      <c r="I262" s="177"/>
      <c r="J262" s="235"/>
      <c r="K262" s="758"/>
      <c r="L262" s="889"/>
      <c r="M262" s="1023"/>
      <c r="N262" s="838"/>
      <c r="O262" s="129"/>
      <c r="P262" s="129"/>
      <c r="AH262" s="50">
        <v>0</v>
      </c>
    </row>
    <row r="263" s="50" customFormat="1" ht="18.75" hidden="1" customHeight="1">
      <c r="A263" s="143" t="s">
        <v>272</v>
      </c>
      <c r="B263" s="143" t="s">
        <v>273</v>
      </c>
      <c r="C263" s="409"/>
      <c r="D263" s="1037"/>
      <c r="E263" s="359"/>
      <c r="F263" s="79" t="str">
        <f>INDEX(PT_DIFFERENTIATION_VTAR,MATCH(A263,PT_DIFFERENTIATION_VTAR_ID,0))</f>
        <v xml:space="preserve">Тариф на транспортировку сточных вод</v>
      </c>
      <c r="G263" s="961" t="str">
        <f>INDEX(PT_DIFFERENTIATION_NTAR,MATCH(B263,PT_DIFFERENTIATION_NTAR_ID,0))</f>
        <v/>
      </c>
      <c r="H263" s="431"/>
      <c r="I263" s="1027"/>
      <c r="J263" s="1028"/>
      <c r="K263" s="447"/>
      <c r="L263" s="431" t="s">
        <v>308</v>
      </c>
      <c r="M263" s="1023"/>
      <c r="N263" s="838"/>
      <c r="O263" s="129"/>
      <c r="P263" s="129"/>
      <c r="AH263" s="50">
        <v>0</v>
      </c>
    </row>
    <row r="264" s="50" customFormat="1" ht="18.75" hidden="1" customHeight="1">
      <c r="A264" s="143"/>
      <c r="B264" s="143"/>
      <c r="C264" s="409" t="s">
        <v>1147</v>
      </c>
      <c r="D264" s="1037"/>
      <c r="E264" s="359"/>
      <c r="F264" s="79"/>
      <c r="G264" s="961"/>
      <c r="H264" s="758"/>
      <c r="I264" s="177" t="s">
        <v>1146</v>
      </c>
      <c r="J264" s="235"/>
      <c r="K264" s="758"/>
      <c r="L264" s="889"/>
      <c r="M264" s="1023"/>
      <c r="N264" s="838"/>
      <c r="O264" s="129"/>
      <c r="P264" s="129"/>
      <c r="AH264" s="50">
        <v>0</v>
      </c>
    </row>
    <row r="265" s="50" customFormat="1" ht="0.75" hidden="1" customHeight="1">
      <c r="A265" s="143"/>
      <c r="B265" s="143"/>
      <c r="C265" s="409" t="s">
        <v>1156</v>
      </c>
      <c r="D265" s="1037"/>
      <c r="E265" s="359"/>
      <c r="F265" s="79"/>
      <c r="G265" s="1036"/>
      <c r="H265" s="758"/>
      <c r="I265" s="177"/>
      <c r="J265" s="235"/>
      <c r="K265" s="758"/>
      <c r="L265" s="889"/>
      <c r="M265" s="1023"/>
      <c r="N265" s="838"/>
      <c r="O265" s="129"/>
      <c r="P265" s="129"/>
      <c r="AH265" s="50">
        <v>0</v>
      </c>
    </row>
    <row r="266" s="50" customFormat="1" ht="18.75" hidden="1" customHeight="1">
      <c r="A266" s="143" t="s">
        <v>277</v>
      </c>
      <c r="B266" s="143" t="s">
        <v>278</v>
      </c>
      <c r="C266" s="409"/>
      <c r="D266" s="1037"/>
      <c r="E266" s="359"/>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61" t="str">
        <f>INDEX(PT_DIFFERENTIATION_NTAR,MATCH(B266,PT_DIFFERENTIATION_NTAR_ID,0))</f>
        <v/>
      </c>
      <c r="H266" s="431"/>
      <c r="I266" s="1027"/>
      <c r="J266" s="1028"/>
      <c r="K266" s="447"/>
      <c r="L266" s="431" t="s">
        <v>308</v>
      </c>
      <c r="M266" s="1023"/>
      <c r="N266" s="838"/>
      <c r="O266" s="129"/>
      <c r="P266" s="129"/>
      <c r="AH266" s="50">
        <v>0</v>
      </c>
    </row>
    <row r="267" s="50" customFormat="1" ht="18.75" hidden="1" customHeight="1">
      <c r="A267" s="143"/>
      <c r="B267" s="143"/>
      <c r="C267" s="409" t="s">
        <v>1147</v>
      </c>
      <c r="D267" s="1037"/>
      <c r="E267" s="359"/>
      <c r="F267" s="79"/>
      <c r="G267" s="961"/>
      <c r="H267" s="758"/>
      <c r="I267" s="177" t="s">
        <v>1146</v>
      </c>
      <c r="J267" s="235"/>
      <c r="K267" s="758"/>
      <c r="L267" s="889"/>
      <c r="M267" s="1023"/>
      <c r="N267" s="838"/>
      <c r="O267" s="129"/>
      <c r="P267" s="129"/>
      <c r="AH267" s="50">
        <v>0</v>
      </c>
    </row>
    <row r="268" s="50" customFormat="1" ht="1.05" customHeight="1">
      <c r="A268" s="143"/>
      <c r="B268" s="143"/>
      <c r="C268" s="409" t="s">
        <v>1156</v>
      </c>
      <c r="D268" s="1037"/>
      <c r="E268" s="359"/>
      <c r="F268" s="79"/>
      <c r="G268" s="1036"/>
      <c r="H268" s="758"/>
      <c r="I268" s="177"/>
      <c r="J268" s="235"/>
      <c r="K268" s="758"/>
      <c r="L268" s="889"/>
      <c r="M268" s="1023"/>
      <c r="N268" s="838"/>
      <c r="O268" s="129"/>
      <c r="P268" s="129"/>
      <c r="AH268" s="50">
        <v>1</v>
      </c>
    </row>
    <row r="269" ht="27.300000000000001" customHeight="1">
      <c r="A269" s="143"/>
      <c r="B269" s="143"/>
      <c r="D269" s="553"/>
      <c r="E269" s="359" t="s">
        <v>92</v>
      </c>
      <c r="F269" s="8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887"/>
      <c r="H269" s="887"/>
      <c r="I269" s="887"/>
      <c r="J269" s="887"/>
      <c r="K269" s="887"/>
      <c r="L269" s="887"/>
      <c r="M269" s="879"/>
      <c r="N269" s="838"/>
      <c r="AH269" s="50">
        <v>26</v>
      </c>
    </row>
    <row r="270" s="50" customFormat="1" ht="60.75" hidden="1" customHeight="1">
      <c r="A270" s="143" t="s">
        <v>154</v>
      </c>
      <c r="B270" s="143" t="s">
        <v>155</v>
      </c>
      <c r="C270" s="409"/>
      <c r="D270" s="1037"/>
      <c r="E270" s="359"/>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61" t="str">
        <f>INDEX(PT_DIFFERENTIATION_NTAR,MATCH(B270,PT_DIFFERENTIATION_NTAR_ID,0))</f>
        <v/>
      </c>
      <c r="H270" s="431"/>
      <c r="I270" s="1027"/>
      <c r="J270" s="1028"/>
      <c r="K270" s="447"/>
      <c r="L270" s="431" t="s">
        <v>308</v>
      </c>
      <c r="M270"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838"/>
      <c r="O270" s="129"/>
      <c r="P270" s="129"/>
      <c r="AH270" s="50">
        <v>0</v>
      </c>
    </row>
    <row r="271" s="50" customFormat="1" ht="18.75" hidden="1" customHeight="1">
      <c r="A271" s="143"/>
      <c r="B271" s="143"/>
      <c r="C271" s="409" t="s">
        <v>1147</v>
      </c>
      <c r="D271" s="1037"/>
      <c r="E271" s="359"/>
      <c r="F271" s="79"/>
      <c r="G271" s="961"/>
      <c r="H271" s="758"/>
      <c r="I271" s="177" t="s">
        <v>1146</v>
      </c>
      <c r="J271" s="235"/>
      <c r="K271" s="758"/>
      <c r="L271" s="889"/>
      <c r="M271" s="287"/>
      <c r="N271" s="838"/>
      <c r="O271" s="129"/>
      <c r="P271" s="129"/>
      <c r="AH271" s="50">
        <v>0</v>
      </c>
    </row>
    <row r="272" s="50" customFormat="1" ht="0.75" hidden="1" customHeight="1">
      <c r="A272" s="143"/>
      <c r="B272" s="143"/>
      <c r="C272" s="409" t="s">
        <v>1156</v>
      </c>
      <c r="D272" s="1037"/>
      <c r="E272" s="359"/>
      <c r="F272" s="79"/>
      <c r="G272" s="1036"/>
      <c r="H272" s="758"/>
      <c r="I272" s="177"/>
      <c r="J272" s="235"/>
      <c r="K272" s="758"/>
      <c r="L272" s="889"/>
      <c r="M272" s="287"/>
      <c r="N272" s="838"/>
      <c r="O272" s="129"/>
      <c r="P272" s="129"/>
      <c r="AH272" s="50">
        <v>0</v>
      </c>
    </row>
    <row r="273" s="50" customFormat="1" ht="45" hidden="1" customHeight="1">
      <c r="A273" s="143" t="s">
        <v>159</v>
      </c>
      <c r="B273" s="143" t="s">
        <v>160</v>
      </c>
      <c r="C273" s="409"/>
      <c r="D273" s="1037"/>
      <c r="E273" s="359"/>
      <c r="F273" s="79" t="str">
        <f>INDEX(PT_DIFFERENTIATION_VTAR,MATCH(A273,PT_DIFFERENTIATION_VTAR_ID,0))</f>
        <v/>
      </c>
      <c r="G273" s="961" t="str">
        <f>INDEX(PT_DIFFERENTIATION_NTAR,MATCH(B273,PT_DIFFERENTIATION_NTAR_ID,0))</f>
        <v/>
      </c>
      <c r="H273" s="431"/>
      <c r="I273" s="1027"/>
      <c r="J273" s="1028"/>
      <c r="K273" s="447"/>
      <c r="L273" s="431" t="s">
        <v>308</v>
      </c>
      <c r="M273" s="289"/>
      <c r="N273" s="838"/>
      <c r="O273" s="129"/>
      <c r="P273" s="129"/>
      <c r="AH273" s="50">
        <v>0</v>
      </c>
    </row>
    <row r="274" s="50" customFormat="1" ht="18.75" hidden="1" customHeight="1">
      <c r="A274" s="143"/>
      <c r="B274" s="143"/>
      <c r="C274" s="409" t="s">
        <v>1147</v>
      </c>
      <c r="D274" s="1037"/>
      <c r="E274" s="359"/>
      <c r="F274" s="79"/>
      <c r="G274" s="961"/>
      <c r="H274" s="758"/>
      <c r="I274" s="177" t="s">
        <v>1146</v>
      </c>
      <c r="J274" s="235"/>
      <c r="K274" s="758"/>
      <c r="L274" s="889"/>
      <c r="M274" s="287"/>
      <c r="N274" s="838"/>
      <c r="O274" s="129"/>
      <c r="P274" s="129"/>
      <c r="AH274" s="50">
        <v>0</v>
      </c>
    </row>
    <row r="275" s="50" customFormat="1" ht="0.75" hidden="1" customHeight="1">
      <c r="A275" s="143"/>
      <c r="B275" s="143"/>
      <c r="C275" s="409" t="s">
        <v>1156</v>
      </c>
      <c r="D275" s="1037"/>
      <c r="E275" s="359"/>
      <c r="F275" s="79"/>
      <c r="G275" s="1036"/>
      <c r="H275" s="758"/>
      <c r="I275" s="177"/>
      <c r="J275" s="235"/>
      <c r="K275" s="758"/>
      <c r="L275" s="889"/>
      <c r="M275" s="1023"/>
      <c r="N275" s="838"/>
      <c r="O275" s="129"/>
      <c r="P275" s="129"/>
      <c r="AH275" s="50">
        <v>0</v>
      </c>
    </row>
    <row r="276" s="50" customFormat="1" ht="45" hidden="1" customHeight="1">
      <c r="A276" s="143" t="s">
        <v>166</v>
      </c>
      <c r="B276" s="143" t="s">
        <v>167</v>
      </c>
      <c r="C276" s="409"/>
      <c r="D276" s="1037"/>
      <c r="E276" s="359"/>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61" t="str">
        <f>INDEX(PT_DIFFERENTIATION_NTAR,MATCH(B276,PT_DIFFERENTIATION_NTAR_ID,0))</f>
        <v/>
      </c>
      <c r="H276" s="431"/>
      <c r="I276" s="1027"/>
      <c r="J276" s="1028"/>
      <c r="K276" s="447"/>
      <c r="L276" s="431" t="s">
        <v>308</v>
      </c>
      <c r="M276" s="1023"/>
      <c r="N276" s="838"/>
      <c r="O276" s="129"/>
      <c r="P276" s="129"/>
      <c r="AH276" s="50">
        <v>0</v>
      </c>
    </row>
    <row r="277" s="50" customFormat="1" ht="18.75" hidden="1" customHeight="1">
      <c r="A277" s="143"/>
      <c r="B277" s="143"/>
      <c r="C277" s="409" t="s">
        <v>1147</v>
      </c>
      <c r="D277" s="1037"/>
      <c r="E277" s="359"/>
      <c r="F277" s="79"/>
      <c r="G277" s="961"/>
      <c r="H277" s="758"/>
      <c r="I277" s="177" t="s">
        <v>1146</v>
      </c>
      <c r="J277" s="235"/>
      <c r="K277" s="758"/>
      <c r="L277" s="889"/>
      <c r="M277" s="1023"/>
      <c r="N277" s="838"/>
      <c r="O277" s="129"/>
      <c r="P277" s="129"/>
      <c r="AH277" s="50">
        <v>0</v>
      </c>
    </row>
    <row r="278" s="50" customFormat="1" ht="0.75" hidden="1" customHeight="1">
      <c r="A278" s="143"/>
      <c r="B278" s="143"/>
      <c r="C278" s="409" t="s">
        <v>1156</v>
      </c>
      <c r="D278" s="1037"/>
      <c r="E278" s="359"/>
      <c r="F278" s="79"/>
      <c r="G278" s="1036"/>
      <c r="H278" s="758"/>
      <c r="I278" s="177"/>
      <c r="J278" s="235"/>
      <c r="K278" s="758"/>
      <c r="L278" s="889"/>
      <c r="M278" s="1023"/>
      <c r="N278" s="838"/>
      <c r="O278" s="129"/>
      <c r="P278" s="129"/>
      <c r="AH278" s="50">
        <v>0</v>
      </c>
    </row>
    <row r="279" s="50" customFormat="1" ht="45" hidden="1" customHeight="1">
      <c r="A279" s="143" t="s">
        <v>172</v>
      </c>
      <c r="B279" s="143" t="s">
        <v>173</v>
      </c>
      <c r="C279" s="409"/>
      <c r="D279" s="1037"/>
      <c r="E279" s="359"/>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61" t="str">
        <f>INDEX(PT_DIFFERENTIATION_NTAR,MATCH(B279,PT_DIFFERENTIATION_NTAR_ID,0))</f>
        <v/>
      </c>
      <c r="H279" s="431"/>
      <c r="I279" s="1027"/>
      <c r="J279" s="1028"/>
      <c r="K279" s="447"/>
      <c r="L279" s="431" t="s">
        <v>308</v>
      </c>
      <c r="M279" s="1023"/>
      <c r="N279" s="838"/>
      <c r="O279" s="129"/>
      <c r="P279" s="129"/>
      <c r="AH279" s="50">
        <v>0</v>
      </c>
    </row>
    <row r="280" s="50" customFormat="1" ht="18.75" hidden="1" customHeight="1">
      <c r="A280" s="143"/>
      <c r="B280" s="143"/>
      <c r="C280" s="409" t="s">
        <v>1147</v>
      </c>
      <c r="D280" s="1037"/>
      <c r="E280" s="359"/>
      <c r="F280" s="79"/>
      <c r="G280" s="961"/>
      <c r="H280" s="758"/>
      <c r="I280" s="177" t="s">
        <v>1146</v>
      </c>
      <c r="J280" s="235"/>
      <c r="K280" s="758"/>
      <c r="L280" s="889"/>
      <c r="M280" s="1023"/>
      <c r="N280" s="838"/>
      <c r="O280" s="129"/>
      <c r="P280" s="129"/>
      <c r="AH280" s="50">
        <v>0</v>
      </c>
    </row>
    <row r="281" s="50" customFormat="1" ht="0.75" hidden="1" customHeight="1">
      <c r="A281" s="143"/>
      <c r="B281" s="143"/>
      <c r="C281" s="409" t="s">
        <v>1156</v>
      </c>
      <c r="D281" s="1037"/>
      <c r="E281" s="359"/>
      <c r="F281" s="79"/>
      <c r="G281" s="1036"/>
      <c r="H281" s="758"/>
      <c r="I281" s="177"/>
      <c r="J281" s="235"/>
      <c r="K281" s="758"/>
      <c r="L281" s="889"/>
      <c r="M281" s="1023"/>
      <c r="N281" s="838"/>
      <c r="O281" s="129"/>
      <c r="P281" s="129"/>
      <c r="AH281" s="50">
        <v>0</v>
      </c>
    </row>
    <row r="282" s="50" customFormat="1" ht="18.75" hidden="1" customHeight="1">
      <c r="A282" s="143" t="s">
        <v>178</v>
      </c>
      <c r="B282" s="143" t="s">
        <v>179</v>
      </c>
      <c r="C282" s="409"/>
      <c r="D282" s="1037"/>
      <c r="E282" s="359"/>
      <c r="F282" s="79" t="str">
        <f>INDEX(PT_DIFFERENTIATION_VTAR,MATCH(A282,PT_DIFFERENTIATION_VTAR_ID,0))</f>
        <v xml:space="preserve">Тарифы на услуги по передаче тепловой энергии</v>
      </c>
      <c r="G282" s="961" t="str">
        <f>INDEX(PT_DIFFERENTIATION_NTAR,MATCH(B282,PT_DIFFERENTIATION_NTAR_ID,0))</f>
        <v/>
      </c>
      <c r="H282" s="431"/>
      <c r="I282" s="1027"/>
      <c r="J282" s="1028"/>
      <c r="K282" s="447"/>
      <c r="L282" s="431" t="s">
        <v>308</v>
      </c>
      <c r="M282" s="1023"/>
      <c r="N282" s="838"/>
      <c r="O282" s="129"/>
      <c r="P282" s="129"/>
      <c r="AH282" s="50">
        <v>0</v>
      </c>
    </row>
    <row r="283" s="50" customFormat="1" ht="18.75" hidden="1" customHeight="1">
      <c r="A283" s="143"/>
      <c r="B283" s="143"/>
      <c r="C283" s="409" t="s">
        <v>1147</v>
      </c>
      <c r="D283" s="1037"/>
      <c r="E283" s="359"/>
      <c r="F283" s="79"/>
      <c r="G283" s="961"/>
      <c r="H283" s="758"/>
      <c r="I283" s="177" t="s">
        <v>1146</v>
      </c>
      <c r="J283" s="235"/>
      <c r="K283" s="758"/>
      <c r="L283" s="889"/>
      <c r="M283" s="1023"/>
      <c r="N283" s="838"/>
      <c r="O283" s="129"/>
      <c r="P283" s="129"/>
      <c r="AH283" s="50">
        <v>0</v>
      </c>
    </row>
    <row r="284" s="50" customFormat="1" ht="0.75" hidden="1" customHeight="1">
      <c r="A284" s="143"/>
      <c r="B284" s="143"/>
      <c r="C284" s="409" t="s">
        <v>1156</v>
      </c>
      <c r="D284" s="1037"/>
      <c r="E284" s="359"/>
      <c r="F284" s="79"/>
      <c r="G284" s="1036"/>
      <c r="H284" s="758"/>
      <c r="I284" s="177"/>
      <c r="J284" s="235"/>
      <c r="K284" s="758"/>
      <c r="L284" s="889"/>
      <c r="M284" s="1023"/>
      <c r="N284" s="838"/>
      <c r="O284" s="129"/>
      <c r="P284" s="129"/>
      <c r="AH284" s="50">
        <v>0</v>
      </c>
    </row>
    <row r="285" s="50" customFormat="1" ht="18.75" hidden="1" customHeight="1">
      <c r="A285" s="143" t="s">
        <v>184</v>
      </c>
      <c r="B285" s="143" t="s">
        <v>185</v>
      </c>
      <c r="C285" s="409"/>
      <c r="D285" s="1037"/>
      <c r="E285" s="359"/>
      <c r="F285" s="79" t="str">
        <f>INDEX(PT_DIFFERENTIATION_VTAR,MATCH(A285,PT_DIFFERENTIATION_VTAR_ID,0))</f>
        <v xml:space="preserve">Тарифы на услуги по передаче теплоносителя</v>
      </c>
      <c r="G285" s="961" t="str">
        <f>INDEX(PT_DIFFERENTIATION_NTAR,MATCH(B285,PT_DIFFERENTIATION_NTAR_ID,0))</f>
        <v/>
      </c>
      <c r="H285" s="431"/>
      <c r="I285" s="1027"/>
      <c r="J285" s="1028"/>
      <c r="K285" s="447"/>
      <c r="L285" s="431" t="s">
        <v>308</v>
      </c>
      <c r="M285" s="1023"/>
      <c r="N285" s="838"/>
      <c r="O285" s="129"/>
      <c r="P285" s="129"/>
      <c r="AH285" s="50">
        <v>0</v>
      </c>
    </row>
    <row r="286" s="50" customFormat="1" ht="18.75" hidden="1" customHeight="1">
      <c r="A286" s="143"/>
      <c r="B286" s="143"/>
      <c r="C286" s="409" t="s">
        <v>1147</v>
      </c>
      <c r="D286" s="1037"/>
      <c r="E286" s="359"/>
      <c r="F286" s="79"/>
      <c r="G286" s="961"/>
      <c r="H286" s="758"/>
      <c r="I286" s="177" t="s">
        <v>1146</v>
      </c>
      <c r="J286" s="235"/>
      <c r="K286" s="758"/>
      <c r="L286" s="889"/>
      <c r="M286" s="1023"/>
      <c r="N286" s="838"/>
      <c r="O286" s="129"/>
      <c r="P286" s="129"/>
      <c r="AH286" s="50">
        <v>0</v>
      </c>
    </row>
    <row r="287" s="50" customFormat="1" ht="0.75" hidden="1" customHeight="1">
      <c r="A287" s="143"/>
      <c r="B287" s="143"/>
      <c r="C287" s="409" t="s">
        <v>1156</v>
      </c>
      <c r="D287" s="1037"/>
      <c r="E287" s="359"/>
      <c r="F287" s="79"/>
      <c r="G287" s="1036"/>
      <c r="H287" s="758"/>
      <c r="I287" s="177"/>
      <c r="J287" s="235"/>
      <c r="K287" s="758"/>
      <c r="L287" s="889"/>
      <c r="M287" s="1023"/>
      <c r="N287" s="838"/>
      <c r="O287" s="129"/>
      <c r="P287" s="129"/>
      <c r="AH287" s="50">
        <v>0</v>
      </c>
    </row>
    <row r="288" s="50" customFormat="1" ht="18.75" hidden="1" customHeight="1">
      <c r="A288" s="143" t="s">
        <v>190</v>
      </c>
      <c r="B288" s="143" t="s">
        <v>191</v>
      </c>
      <c r="C288" s="409"/>
      <c r="D288" s="1037"/>
      <c r="E288" s="359"/>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61" t="str">
        <f>INDEX(PT_DIFFERENTIATION_NTAR,MATCH(B288,PT_DIFFERENTIATION_NTAR_ID,0))</f>
        <v/>
      </c>
      <c r="H288" s="431"/>
      <c r="I288" s="1027"/>
      <c r="J288" s="1028"/>
      <c r="K288" s="447"/>
      <c r="L288" s="431" t="s">
        <v>308</v>
      </c>
      <c r="M288" s="1023"/>
      <c r="N288" s="838"/>
      <c r="O288" s="129"/>
      <c r="P288" s="129"/>
      <c r="AH288" s="50">
        <v>0</v>
      </c>
    </row>
    <row r="289" s="50" customFormat="1" ht="18.75" hidden="1" customHeight="1">
      <c r="A289" s="143"/>
      <c r="B289" s="143"/>
      <c r="C289" s="409" t="s">
        <v>1147</v>
      </c>
      <c r="D289" s="1037"/>
      <c r="E289" s="359"/>
      <c r="F289" s="79"/>
      <c r="G289" s="961"/>
      <c r="H289" s="758"/>
      <c r="I289" s="177" t="s">
        <v>1146</v>
      </c>
      <c r="J289" s="235"/>
      <c r="K289" s="758"/>
      <c r="L289" s="889"/>
      <c r="M289" s="1023"/>
      <c r="N289" s="838"/>
      <c r="O289" s="129"/>
      <c r="P289" s="129"/>
      <c r="AH289" s="50">
        <v>0</v>
      </c>
    </row>
    <row r="290" s="50" customFormat="1" ht="0.75" hidden="1" customHeight="1">
      <c r="A290" s="143"/>
      <c r="B290" s="143"/>
      <c r="C290" s="409" t="s">
        <v>1156</v>
      </c>
      <c r="D290" s="1037"/>
      <c r="E290" s="359"/>
      <c r="F290" s="79"/>
      <c r="G290" s="1036"/>
      <c r="H290" s="758"/>
      <c r="I290" s="177"/>
      <c r="J290" s="235"/>
      <c r="K290" s="758"/>
      <c r="L290" s="889"/>
      <c r="M290" s="1023"/>
      <c r="N290" s="838"/>
      <c r="O290" s="129"/>
      <c r="P290" s="129"/>
      <c r="AH290" s="50">
        <v>0</v>
      </c>
    </row>
    <row r="291" s="50" customFormat="1" ht="18.75" hidden="1" customHeight="1">
      <c r="A291" s="143" t="s">
        <v>196</v>
      </c>
      <c r="B291" s="143" t="s">
        <v>197</v>
      </c>
      <c r="C291" s="409"/>
      <c r="D291" s="1037"/>
      <c r="E291" s="359"/>
      <c r="F291" s="79" t="str">
        <f>INDEX(PT_DIFFERENTIATION_VTAR,MATCH(A291,PT_DIFFERENTIATION_VTAR_ID,0))</f>
        <v xml:space="preserve">Плата за подключение (технологическое присоединение) к системе теплоснабжения</v>
      </c>
      <c r="G291" s="961" t="str">
        <f>INDEX(PT_DIFFERENTIATION_NTAR,MATCH(B291,PT_DIFFERENTIATION_NTAR_ID,0))</f>
        <v/>
      </c>
      <c r="H291" s="431"/>
      <c r="I291" s="1027"/>
      <c r="J291" s="1028"/>
      <c r="K291" s="447"/>
      <c r="L291" s="431" t="s">
        <v>308</v>
      </c>
      <c r="M291" s="1023"/>
      <c r="N291" s="838"/>
      <c r="O291" s="129"/>
      <c r="P291" s="129"/>
      <c r="AH291" s="50">
        <v>0</v>
      </c>
    </row>
    <row r="292" s="50" customFormat="1" ht="18.75" hidden="1" customHeight="1">
      <c r="A292" s="143"/>
      <c r="B292" s="143"/>
      <c r="C292" s="409" t="s">
        <v>1147</v>
      </c>
      <c r="D292" s="1037"/>
      <c r="E292" s="359"/>
      <c r="F292" s="79"/>
      <c r="G292" s="961"/>
      <c r="H292" s="758"/>
      <c r="I292" s="177" t="s">
        <v>1146</v>
      </c>
      <c r="J292" s="235"/>
      <c r="K292" s="758"/>
      <c r="L292" s="889"/>
      <c r="M292" s="1023"/>
      <c r="N292" s="838"/>
      <c r="O292" s="129"/>
      <c r="P292" s="129"/>
      <c r="AH292" s="50">
        <v>0</v>
      </c>
    </row>
    <row r="293" s="50" customFormat="1" ht="0.75" hidden="1" customHeight="1">
      <c r="A293" s="143"/>
      <c r="B293" s="143"/>
      <c r="C293" s="409" t="s">
        <v>1156</v>
      </c>
      <c r="D293" s="1037"/>
      <c r="E293" s="359"/>
      <c r="F293" s="79"/>
      <c r="G293" s="1036"/>
      <c r="H293" s="758"/>
      <c r="I293" s="177"/>
      <c r="J293" s="235"/>
      <c r="K293" s="758"/>
      <c r="L293" s="889"/>
      <c r="M293" s="1023"/>
      <c r="N293" s="838"/>
      <c r="O293" s="129"/>
      <c r="P293" s="129"/>
      <c r="AH293" s="50">
        <v>0</v>
      </c>
    </row>
    <row r="294" s="50" customFormat="1" ht="18.75" hidden="1" customHeight="1">
      <c r="A294" s="143" t="s">
        <v>202</v>
      </c>
      <c r="B294" s="143" t="s">
        <v>203</v>
      </c>
      <c r="C294" s="409"/>
      <c r="D294" s="1037"/>
      <c r="E294" s="359"/>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61" t="str">
        <f>INDEX(PT_DIFFERENTIATION_NTAR,MATCH(B294,PT_DIFFERENTIATION_NTAR_ID,0))</f>
        <v/>
      </c>
      <c r="H294" s="431"/>
      <c r="I294" s="1027"/>
      <c r="J294" s="1028"/>
      <c r="K294" s="447"/>
      <c r="L294" s="431" t="s">
        <v>308</v>
      </c>
      <c r="M294" s="1023"/>
      <c r="N294" s="838"/>
      <c r="O294" s="129"/>
      <c r="P294" s="129"/>
      <c r="AH294" s="50">
        <v>0</v>
      </c>
    </row>
    <row r="295" s="50" customFormat="1" ht="18.75" hidden="1" customHeight="1">
      <c r="A295" s="143"/>
      <c r="B295" s="143"/>
      <c r="C295" s="409" t="s">
        <v>1147</v>
      </c>
      <c r="D295" s="1037"/>
      <c r="E295" s="359"/>
      <c r="F295" s="79"/>
      <c r="G295" s="961"/>
      <c r="H295" s="758"/>
      <c r="I295" s="177" t="s">
        <v>1146</v>
      </c>
      <c r="J295" s="235"/>
      <c r="K295" s="758"/>
      <c r="L295" s="889"/>
      <c r="M295" s="1023"/>
      <c r="N295" s="838"/>
      <c r="O295" s="129"/>
      <c r="P295" s="129"/>
      <c r="AH295" s="50">
        <v>0</v>
      </c>
    </row>
    <row r="296" s="50" customFormat="1" ht="0.75" hidden="1" customHeight="1">
      <c r="A296" s="143"/>
      <c r="B296" s="143"/>
      <c r="C296" s="409" t="s">
        <v>1156</v>
      </c>
      <c r="D296" s="1037"/>
      <c r="E296" s="359"/>
      <c r="F296" s="79"/>
      <c r="G296" s="1036"/>
      <c r="H296" s="758"/>
      <c r="I296" s="177"/>
      <c r="J296" s="235"/>
      <c r="K296" s="758"/>
      <c r="L296" s="889"/>
      <c r="M296" s="1023"/>
      <c r="N296" s="838"/>
      <c r="O296" s="129"/>
      <c r="P296" s="129"/>
      <c r="AH296" s="50">
        <v>0</v>
      </c>
    </row>
    <row r="297" s="50" customFormat="1" ht="18.75" hidden="1" customHeight="1">
      <c r="A297" s="143" t="s">
        <v>222</v>
      </c>
      <c r="B297" s="143" t="s">
        <v>223</v>
      </c>
      <c r="C297" s="409"/>
      <c r="D297" s="1037"/>
      <c r="E297" s="359"/>
      <c r="F297" s="79" t="str">
        <f>INDEX(PT_DIFFERENTIATION_VTAR,MATCH(A297,PT_DIFFERENTIATION_VTAR_ID,0))</f>
        <v xml:space="preserve">Тариф на питьевую воду (питьевое водоснабжение)</v>
      </c>
      <c r="G297" s="961" t="str">
        <f>INDEX(PT_DIFFERENTIATION_NTAR,MATCH(B297,PT_DIFFERENTIATION_NTAR_ID,0))</f>
        <v/>
      </c>
      <c r="H297" s="431"/>
      <c r="I297" s="1027"/>
      <c r="J297" s="1028"/>
      <c r="K297" s="447"/>
      <c r="L297" s="431" t="s">
        <v>308</v>
      </c>
      <c r="M297" s="1023"/>
      <c r="N297" s="838"/>
      <c r="O297" s="129"/>
      <c r="P297" s="129"/>
      <c r="AH297" s="50">
        <v>0</v>
      </c>
    </row>
    <row r="298" s="50" customFormat="1" ht="18.75" hidden="1" customHeight="1">
      <c r="A298" s="143"/>
      <c r="B298" s="143"/>
      <c r="C298" s="409" t="s">
        <v>1147</v>
      </c>
      <c r="D298" s="1037"/>
      <c r="E298" s="359"/>
      <c r="F298" s="79"/>
      <c r="G298" s="961"/>
      <c r="H298" s="758"/>
      <c r="I298" s="177" t="s">
        <v>1146</v>
      </c>
      <c r="J298" s="235"/>
      <c r="K298" s="758"/>
      <c r="L298" s="889"/>
      <c r="M298" s="1023"/>
      <c r="N298" s="838"/>
      <c r="O298" s="129"/>
      <c r="P298" s="129"/>
      <c r="AH298" s="50">
        <v>0</v>
      </c>
    </row>
    <row r="299" s="50" customFormat="1" ht="0.75" hidden="1" customHeight="1">
      <c r="A299" s="143"/>
      <c r="B299" s="143"/>
      <c r="C299" s="409" t="s">
        <v>1156</v>
      </c>
      <c r="D299" s="1037"/>
      <c r="E299" s="359"/>
      <c r="F299" s="79"/>
      <c r="G299" s="1036"/>
      <c r="H299" s="758"/>
      <c r="I299" s="177"/>
      <c r="J299" s="235"/>
      <c r="K299" s="758"/>
      <c r="L299" s="889"/>
      <c r="M299" s="1023"/>
      <c r="N299" s="838"/>
      <c r="O299" s="129"/>
      <c r="P299" s="129"/>
      <c r="AH299" s="50">
        <v>0</v>
      </c>
    </row>
    <row r="300" s="50" customFormat="1" ht="18.75" hidden="1" customHeight="1">
      <c r="A300" s="143" t="s">
        <v>227</v>
      </c>
      <c r="B300" s="143" t="s">
        <v>228</v>
      </c>
      <c r="C300" s="409"/>
      <c r="D300" s="1037"/>
      <c r="E300" s="359"/>
      <c r="F300" s="79" t="str">
        <f>INDEX(PT_DIFFERENTIATION_VTAR,MATCH(A300,PT_DIFFERENTIATION_VTAR_ID,0))</f>
        <v xml:space="preserve">Тариф на техническую воду</v>
      </c>
      <c r="G300" s="961" t="str">
        <f>INDEX(PT_DIFFERENTIATION_NTAR,MATCH(B300,PT_DIFFERENTIATION_NTAR_ID,0))</f>
        <v/>
      </c>
      <c r="H300" s="431"/>
      <c r="I300" s="1027"/>
      <c r="J300" s="1028"/>
      <c r="K300" s="447"/>
      <c r="L300" s="431" t="s">
        <v>308</v>
      </c>
      <c r="M300" s="1023"/>
      <c r="N300" s="838"/>
      <c r="O300" s="129"/>
      <c r="P300" s="129"/>
      <c r="AH300" s="50">
        <v>0</v>
      </c>
    </row>
    <row r="301" s="50" customFormat="1" ht="18.75" hidden="1" customHeight="1">
      <c r="A301" s="143"/>
      <c r="B301" s="143"/>
      <c r="C301" s="409" t="s">
        <v>1147</v>
      </c>
      <c r="D301" s="1037"/>
      <c r="E301" s="359"/>
      <c r="F301" s="79"/>
      <c r="G301" s="961"/>
      <c r="H301" s="758"/>
      <c r="I301" s="177" t="s">
        <v>1146</v>
      </c>
      <c r="J301" s="235"/>
      <c r="K301" s="758"/>
      <c r="L301" s="889"/>
      <c r="M301" s="1023"/>
      <c r="N301" s="838"/>
      <c r="O301" s="129"/>
      <c r="P301" s="129"/>
      <c r="AH301" s="50">
        <v>0</v>
      </c>
    </row>
    <row r="302" s="50" customFormat="1" ht="0.75" hidden="1" customHeight="1">
      <c r="A302" s="143"/>
      <c r="B302" s="143"/>
      <c r="C302" s="409" t="s">
        <v>1156</v>
      </c>
      <c r="D302" s="1037"/>
      <c r="E302" s="359"/>
      <c r="F302" s="79"/>
      <c r="G302" s="1036"/>
      <c r="H302" s="758"/>
      <c r="I302" s="177"/>
      <c r="J302" s="235"/>
      <c r="K302" s="758"/>
      <c r="L302" s="889"/>
      <c r="M302" s="1023"/>
      <c r="N302" s="838"/>
      <c r="O302" s="129"/>
      <c r="P302" s="129"/>
      <c r="AH302" s="50">
        <v>0</v>
      </c>
    </row>
    <row r="303" s="50" customFormat="1" ht="18.75" customHeight="1">
      <c r="A303" s="143" t="s">
        <v>234</v>
      </c>
      <c r="B303" s="143" t="s">
        <v>235</v>
      </c>
      <c r="C303" s="409"/>
      <c r="D303" s="1037"/>
      <c r="E303" s="359"/>
      <c r="F303" s="79" t="str">
        <f>INDEX(PT_DIFFERENTIATION_VTAR,MATCH(A303,PT_DIFFERENTIATION_VTAR_ID,0))</f>
        <v xml:space="preserve">Тариф на транспортировку воды</v>
      </c>
      <c r="G303" s="961" t="str">
        <f>INDEX(PT_DIFFERENTIATION_NTAR,MATCH(B303,PT_DIFFERENTIATION_NTAR_ID,0))</f>
        <v xml:space="preserve">Тариф на транспортировку питьевой воды</v>
      </c>
      <c r="H303" s="431"/>
      <c r="I303" s="1027">
        <v>45658</v>
      </c>
      <c r="J303" s="1028">
        <v>46022</v>
      </c>
      <c r="K303" s="447">
        <v>394.30279999999999</v>
      </c>
      <c r="L303" s="431" t="s">
        <v>308</v>
      </c>
      <c r="M303" s="1023"/>
      <c r="N303" s="838"/>
      <c r="O303" s="129"/>
      <c r="P303" s="129"/>
      <c r="AH303" s="50">
        <v>0</v>
      </c>
    </row>
    <row r="304" s="50" customFormat="1" ht="18.75" customHeight="1">
      <c r="A304" s="143"/>
      <c r="B304" s="143"/>
      <c r="C304" s="409" t="s">
        <v>1147</v>
      </c>
      <c r="D304" s="1037"/>
      <c r="E304" s="359"/>
      <c r="F304" s="79"/>
      <c r="G304" s="961"/>
      <c r="H304" s="758"/>
      <c r="I304" s="177" t="s">
        <v>1146</v>
      </c>
      <c r="J304" s="235"/>
      <c r="K304" s="758"/>
      <c r="L304" s="889"/>
      <c r="M304" s="1023"/>
      <c r="N304" s="838"/>
      <c r="O304" s="129"/>
      <c r="P304" s="129"/>
      <c r="AH304" s="50">
        <v>0</v>
      </c>
    </row>
    <row r="305" s="50" customFormat="1" ht="0.75" customHeight="1">
      <c r="A305" s="143"/>
      <c r="B305" s="143"/>
      <c r="C305" s="409" t="s">
        <v>1156</v>
      </c>
      <c r="D305" s="1037"/>
      <c r="E305" s="359"/>
      <c r="F305" s="79"/>
      <c r="G305" s="1036"/>
      <c r="H305" s="758"/>
      <c r="I305" s="177"/>
      <c r="J305" s="235"/>
      <c r="K305" s="758"/>
      <c r="L305" s="889"/>
      <c r="M305" s="1023"/>
      <c r="N305" s="838"/>
      <c r="O305" s="129"/>
      <c r="P305" s="129"/>
      <c r="AH305" s="50">
        <v>0</v>
      </c>
    </row>
    <row r="306" s="50" customFormat="1" ht="18.75" hidden="1" customHeight="1">
      <c r="A306" s="143" t="s">
        <v>242</v>
      </c>
      <c r="B306" s="143" t="s">
        <v>243</v>
      </c>
      <c r="C306" s="409"/>
      <c r="D306" s="1037"/>
      <c r="E306" s="359"/>
      <c r="F306" s="79" t="str">
        <f>INDEX(PT_DIFFERENTIATION_VTAR,MATCH(A306,PT_DIFFERENTIATION_VTAR_ID,0))</f>
        <v xml:space="preserve">Тариф на подвоз воды</v>
      </c>
      <c r="G306" s="961" t="str">
        <f>INDEX(PT_DIFFERENTIATION_NTAR,MATCH(B306,PT_DIFFERENTIATION_NTAR_ID,0))</f>
        <v/>
      </c>
      <c r="H306" s="431"/>
      <c r="I306" s="1027"/>
      <c r="J306" s="1028"/>
      <c r="K306" s="447"/>
      <c r="L306" s="431" t="s">
        <v>308</v>
      </c>
      <c r="M306" s="1023"/>
      <c r="N306" s="838"/>
      <c r="O306" s="129"/>
      <c r="P306" s="129"/>
      <c r="AH306" s="50">
        <v>0</v>
      </c>
    </row>
    <row r="307" s="50" customFormat="1" ht="18.75" hidden="1" customHeight="1">
      <c r="A307" s="143"/>
      <c r="B307" s="143"/>
      <c r="C307" s="409" t="s">
        <v>1147</v>
      </c>
      <c r="D307" s="1037"/>
      <c r="E307" s="359"/>
      <c r="F307" s="79"/>
      <c r="G307" s="961"/>
      <c r="H307" s="758"/>
      <c r="I307" s="177" t="s">
        <v>1146</v>
      </c>
      <c r="J307" s="235"/>
      <c r="K307" s="758"/>
      <c r="L307" s="889"/>
      <c r="M307" s="1023"/>
      <c r="N307" s="838"/>
      <c r="O307" s="129"/>
      <c r="P307" s="129"/>
      <c r="AH307" s="50">
        <v>0</v>
      </c>
    </row>
    <row r="308" s="50" customFormat="1" ht="0.75" hidden="1" customHeight="1">
      <c r="A308" s="143"/>
      <c r="B308" s="143"/>
      <c r="C308" s="409" t="s">
        <v>1156</v>
      </c>
      <c r="D308" s="1037"/>
      <c r="E308" s="359"/>
      <c r="F308" s="79"/>
      <c r="G308" s="1036"/>
      <c r="H308" s="758"/>
      <c r="I308" s="177"/>
      <c r="J308" s="235"/>
      <c r="K308" s="758"/>
      <c r="L308" s="889"/>
      <c r="M308" s="1023"/>
      <c r="N308" s="838"/>
      <c r="O308" s="129"/>
      <c r="P308" s="129"/>
      <c r="AH308" s="50">
        <v>0</v>
      </c>
    </row>
    <row r="309" s="50" customFormat="1" ht="18.75" hidden="1" customHeight="1">
      <c r="A309" s="143" t="s">
        <v>247</v>
      </c>
      <c r="B309" s="143" t="s">
        <v>248</v>
      </c>
      <c r="C309" s="409"/>
      <c r="D309" s="1037"/>
      <c r="E309" s="359"/>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61" t="str">
        <f>INDEX(PT_DIFFERENTIATION_NTAR,MATCH(B309,PT_DIFFERENTIATION_NTAR_ID,0))</f>
        <v/>
      </c>
      <c r="H309" s="431"/>
      <c r="I309" s="1027"/>
      <c r="J309" s="1028"/>
      <c r="K309" s="447"/>
      <c r="L309" s="431" t="s">
        <v>308</v>
      </c>
      <c r="M309" s="1023"/>
      <c r="N309" s="838"/>
      <c r="O309" s="129"/>
      <c r="P309" s="129"/>
      <c r="AH309" s="50">
        <v>0</v>
      </c>
    </row>
    <row r="310" s="50" customFormat="1" ht="18.75" hidden="1" customHeight="1">
      <c r="A310" s="143"/>
      <c r="B310" s="143"/>
      <c r="C310" s="409" t="s">
        <v>1147</v>
      </c>
      <c r="D310" s="1037"/>
      <c r="E310" s="359"/>
      <c r="F310" s="79"/>
      <c r="G310" s="961"/>
      <c r="H310" s="758"/>
      <c r="I310" s="177" t="s">
        <v>1146</v>
      </c>
      <c r="J310" s="235"/>
      <c r="K310" s="758"/>
      <c r="L310" s="889"/>
      <c r="M310" s="1023"/>
      <c r="N310" s="838"/>
      <c r="O310" s="129"/>
      <c r="P310" s="129"/>
      <c r="AH310" s="50">
        <v>0</v>
      </c>
    </row>
    <row r="311" s="50" customFormat="1" ht="0.75" hidden="1" customHeight="1">
      <c r="A311" s="143"/>
      <c r="B311" s="143"/>
      <c r="C311" s="409" t="s">
        <v>1156</v>
      </c>
      <c r="D311" s="1037"/>
      <c r="E311" s="359"/>
      <c r="F311" s="79"/>
      <c r="G311" s="1036"/>
      <c r="H311" s="758"/>
      <c r="I311" s="177"/>
      <c r="J311" s="235"/>
      <c r="K311" s="758"/>
      <c r="L311" s="889"/>
      <c r="M311" s="1023"/>
      <c r="N311" s="838"/>
      <c r="O311" s="129"/>
      <c r="P311" s="129"/>
      <c r="AH311" s="50">
        <v>0</v>
      </c>
    </row>
    <row r="312" s="50" customFormat="1" ht="18.75" hidden="1" customHeight="1">
      <c r="A312" s="143" t="s">
        <v>252</v>
      </c>
      <c r="B312" s="143" t="s">
        <v>253</v>
      </c>
      <c r="C312" s="409"/>
      <c r="D312" s="1037"/>
      <c r="E312" s="359"/>
      <c r="F312" s="79" t="str">
        <f>INDEX(PT_DIFFERENTIATION_VTAR,MATCH(A312,PT_DIFFERENTIATION_VTAR_ID,0))</f>
        <v xml:space="preserve">Тариф на горячую воду (горячее водоснабжение)</v>
      </c>
      <c r="G312" s="961" t="str">
        <f>INDEX(PT_DIFFERENTIATION_NTAR,MATCH(B312,PT_DIFFERENTIATION_NTAR_ID,0))</f>
        <v/>
      </c>
      <c r="H312" s="431"/>
      <c r="I312" s="1027"/>
      <c r="J312" s="1028"/>
      <c r="K312" s="447"/>
      <c r="L312" s="431" t="s">
        <v>308</v>
      </c>
      <c r="M312" s="1023"/>
      <c r="N312" s="838"/>
      <c r="O312" s="129"/>
      <c r="P312" s="129"/>
      <c r="AH312" s="50">
        <v>0</v>
      </c>
    </row>
    <row r="313" s="50" customFormat="1" ht="18.75" hidden="1" customHeight="1">
      <c r="A313" s="143"/>
      <c r="B313" s="143"/>
      <c r="C313" s="409" t="s">
        <v>1147</v>
      </c>
      <c r="D313" s="1037"/>
      <c r="E313" s="359"/>
      <c r="F313" s="79"/>
      <c r="G313" s="961"/>
      <c r="H313" s="758"/>
      <c r="I313" s="177" t="s">
        <v>1146</v>
      </c>
      <c r="J313" s="235"/>
      <c r="K313" s="758"/>
      <c r="L313" s="889"/>
      <c r="M313" s="1023"/>
      <c r="N313" s="838"/>
      <c r="O313" s="129"/>
      <c r="P313" s="129"/>
      <c r="AH313" s="50">
        <v>0</v>
      </c>
    </row>
    <row r="314" s="50" customFormat="1" ht="0.75" hidden="1" customHeight="1">
      <c r="A314" s="143"/>
      <c r="B314" s="143"/>
      <c r="C314" s="409" t="s">
        <v>1156</v>
      </c>
      <c r="D314" s="1037"/>
      <c r="E314" s="359"/>
      <c r="F314" s="79"/>
      <c r="G314" s="1036"/>
      <c r="H314" s="758"/>
      <c r="I314" s="177"/>
      <c r="J314" s="235"/>
      <c r="K314" s="758"/>
      <c r="L314" s="889"/>
      <c r="M314" s="1023"/>
      <c r="N314" s="838"/>
      <c r="O314" s="129"/>
      <c r="P314" s="129"/>
      <c r="AH314" s="50">
        <v>0</v>
      </c>
    </row>
    <row r="315" s="50" customFormat="1" ht="18.75" hidden="1" customHeight="1">
      <c r="A315" s="143" t="s">
        <v>257</v>
      </c>
      <c r="B315" s="143" t="s">
        <v>258</v>
      </c>
      <c r="C315" s="409"/>
      <c r="D315" s="1037"/>
      <c r="E315" s="359"/>
      <c r="F315" s="79" t="str">
        <f>INDEX(PT_DIFFERENTIATION_VTAR,MATCH(A315,PT_DIFFERENTIATION_VTAR_ID,0))</f>
        <v xml:space="preserve">Тариф на транспортировку горячей воды</v>
      </c>
      <c r="G315" s="961" t="str">
        <f>INDEX(PT_DIFFERENTIATION_NTAR,MATCH(B315,PT_DIFFERENTIATION_NTAR_ID,0))</f>
        <v/>
      </c>
      <c r="H315" s="431"/>
      <c r="I315" s="1027"/>
      <c r="J315" s="1028"/>
      <c r="K315" s="447"/>
      <c r="L315" s="431" t="s">
        <v>308</v>
      </c>
      <c r="M315" s="1023"/>
      <c r="N315" s="838"/>
      <c r="O315" s="129"/>
      <c r="P315" s="129"/>
      <c r="AH315" s="50">
        <v>0</v>
      </c>
    </row>
    <row r="316" s="50" customFormat="1" ht="18.75" hidden="1" customHeight="1">
      <c r="A316" s="143"/>
      <c r="B316" s="143"/>
      <c r="C316" s="409" t="s">
        <v>1147</v>
      </c>
      <c r="D316" s="1037"/>
      <c r="E316" s="359"/>
      <c r="F316" s="79"/>
      <c r="G316" s="961"/>
      <c r="H316" s="758"/>
      <c r="I316" s="177" t="s">
        <v>1146</v>
      </c>
      <c r="J316" s="235"/>
      <c r="K316" s="758"/>
      <c r="L316" s="889"/>
      <c r="M316" s="1023"/>
      <c r="N316" s="838"/>
      <c r="O316" s="129"/>
      <c r="P316" s="129"/>
      <c r="AH316" s="50">
        <v>0</v>
      </c>
    </row>
    <row r="317" s="50" customFormat="1" ht="0.75" hidden="1" customHeight="1">
      <c r="A317" s="143"/>
      <c r="B317" s="143"/>
      <c r="C317" s="409" t="s">
        <v>1156</v>
      </c>
      <c r="D317" s="1037"/>
      <c r="E317" s="359"/>
      <c r="F317" s="79"/>
      <c r="G317" s="1036"/>
      <c r="H317" s="758"/>
      <c r="I317" s="177"/>
      <c r="J317" s="235"/>
      <c r="K317" s="758"/>
      <c r="L317" s="889"/>
      <c r="M317" s="1023"/>
      <c r="N317" s="838"/>
      <c r="O317" s="129"/>
      <c r="P317" s="129"/>
      <c r="AH317" s="50">
        <v>0</v>
      </c>
    </row>
    <row r="318" s="50" customFormat="1" ht="18.75" hidden="1" customHeight="1">
      <c r="A318" s="143" t="s">
        <v>262</v>
      </c>
      <c r="B318" s="143" t="s">
        <v>263</v>
      </c>
      <c r="C318" s="409"/>
      <c r="D318" s="1037"/>
      <c r="E318" s="359"/>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61" t="str">
        <f>INDEX(PT_DIFFERENTIATION_NTAR,MATCH(B318,PT_DIFFERENTIATION_NTAR_ID,0))</f>
        <v/>
      </c>
      <c r="H318" s="431"/>
      <c r="I318" s="1027"/>
      <c r="J318" s="1028"/>
      <c r="K318" s="447"/>
      <c r="L318" s="431" t="s">
        <v>308</v>
      </c>
      <c r="M318" s="1023"/>
      <c r="N318" s="838"/>
      <c r="O318" s="129"/>
      <c r="P318" s="129"/>
      <c r="AH318" s="50">
        <v>0</v>
      </c>
    </row>
    <row r="319" s="50" customFormat="1" ht="18.75" hidden="1" customHeight="1">
      <c r="A319" s="143"/>
      <c r="B319" s="143"/>
      <c r="C319" s="409" t="s">
        <v>1147</v>
      </c>
      <c r="D319" s="1037"/>
      <c r="E319" s="359"/>
      <c r="F319" s="79"/>
      <c r="G319" s="961"/>
      <c r="H319" s="758"/>
      <c r="I319" s="177" t="s">
        <v>1146</v>
      </c>
      <c r="J319" s="235"/>
      <c r="K319" s="758"/>
      <c r="L319" s="889"/>
      <c r="M319" s="1023"/>
      <c r="N319" s="838"/>
      <c r="O319" s="129"/>
      <c r="P319" s="129"/>
      <c r="AH319" s="50">
        <v>0</v>
      </c>
    </row>
    <row r="320" s="50" customFormat="1" ht="0.75" hidden="1" customHeight="1">
      <c r="A320" s="143"/>
      <c r="B320" s="143"/>
      <c r="C320" s="409" t="s">
        <v>1156</v>
      </c>
      <c r="D320" s="1037"/>
      <c r="E320" s="359"/>
      <c r="F320" s="79"/>
      <c r="G320" s="1036"/>
      <c r="H320" s="758"/>
      <c r="I320" s="177"/>
      <c r="J320" s="235"/>
      <c r="K320" s="758"/>
      <c r="L320" s="889"/>
      <c r="M320" s="1023"/>
      <c r="N320" s="838"/>
      <c r="O320" s="129"/>
      <c r="P320" s="129"/>
      <c r="AH320" s="50">
        <v>0</v>
      </c>
    </row>
    <row r="321" s="50" customFormat="1" ht="18.75" hidden="1" customHeight="1">
      <c r="A321" s="143" t="s">
        <v>267</v>
      </c>
      <c r="B321" s="143" t="s">
        <v>268</v>
      </c>
      <c r="C321" s="409"/>
      <c r="D321" s="1037"/>
      <c r="E321" s="359"/>
      <c r="F321" s="79" t="str">
        <f>INDEX(PT_DIFFERENTIATION_VTAR,MATCH(A321,PT_DIFFERENTIATION_VTAR_ID,0))</f>
        <v xml:space="preserve">Тариф на водоотведение</v>
      </c>
      <c r="G321" s="961" t="str">
        <f>INDEX(PT_DIFFERENTIATION_NTAR,MATCH(B321,PT_DIFFERENTIATION_NTAR_ID,0))</f>
        <v/>
      </c>
      <c r="H321" s="431"/>
      <c r="I321" s="1027"/>
      <c r="J321" s="1028"/>
      <c r="K321" s="447"/>
      <c r="L321" s="431" t="s">
        <v>308</v>
      </c>
      <c r="M321" s="1023"/>
      <c r="N321" s="838"/>
      <c r="O321" s="129"/>
      <c r="P321" s="129"/>
      <c r="AH321" s="50">
        <v>0</v>
      </c>
    </row>
    <row r="322" s="50" customFormat="1" ht="18.75" hidden="1" customHeight="1">
      <c r="A322" s="143"/>
      <c r="B322" s="143"/>
      <c r="C322" s="409" t="s">
        <v>1147</v>
      </c>
      <c r="D322" s="1037"/>
      <c r="E322" s="359"/>
      <c r="F322" s="79"/>
      <c r="G322" s="961"/>
      <c r="H322" s="758"/>
      <c r="I322" s="177" t="s">
        <v>1146</v>
      </c>
      <c r="J322" s="235"/>
      <c r="K322" s="758"/>
      <c r="L322" s="889"/>
      <c r="M322" s="1023"/>
      <c r="N322" s="838"/>
      <c r="O322" s="129"/>
      <c r="P322" s="129"/>
      <c r="AH322" s="50">
        <v>0</v>
      </c>
    </row>
    <row r="323" s="50" customFormat="1" ht="0.75" hidden="1" customHeight="1">
      <c r="A323" s="143"/>
      <c r="B323" s="143"/>
      <c r="C323" s="409" t="s">
        <v>1156</v>
      </c>
      <c r="D323" s="1037"/>
      <c r="E323" s="359"/>
      <c r="F323" s="79"/>
      <c r="G323" s="1036"/>
      <c r="H323" s="758"/>
      <c r="I323" s="177"/>
      <c r="J323" s="235"/>
      <c r="K323" s="758"/>
      <c r="L323" s="889"/>
      <c r="M323" s="1023"/>
      <c r="N323" s="838"/>
      <c r="O323" s="129"/>
      <c r="P323" s="129"/>
      <c r="AH323" s="50">
        <v>0</v>
      </c>
    </row>
    <row r="324" s="50" customFormat="1" ht="18.75" hidden="1" customHeight="1">
      <c r="A324" s="143" t="s">
        <v>272</v>
      </c>
      <c r="B324" s="143" t="s">
        <v>273</v>
      </c>
      <c r="C324" s="409"/>
      <c r="D324" s="1037"/>
      <c r="E324" s="359"/>
      <c r="F324" s="79" t="str">
        <f>INDEX(PT_DIFFERENTIATION_VTAR,MATCH(A324,PT_DIFFERENTIATION_VTAR_ID,0))</f>
        <v xml:space="preserve">Тариф на транспортировку сточных вод</v>
      </c>
      <c r="G324" s="961" t="str">
        <f>INDEX(PT_DIFFERENTIATION_NTAR,MATCH(B324,PT_DIFFERENTIATION_NTAR_ID,0))</f>
        <v/>
      </c>
      <c r="H324" s="431"/>
      <c r="I324" s="1027"/>
      <c r="J324" s="1028"/>
      <c r="K324" s="447"/>
      <c r="L324" s="431" t="s">
        <v>308</v>
      </c>
      <c r="M324" s="1023"/>
      <c r="N324" s="838"/>
      <c r="O324" s="129"/>
      <c r="P324" s="129"/>
      <c r="AH324" s="50">
        <v>0</v>
      </c>
    </row>
    <row r="325" s="50" customFormat="1" ht="18.75" hidden="1" customHeight="1">
      <c r="A325" s="143"/>
      <c r="B325" s="143"/>
      <c r="C325" s="409" t="s">
        <v>1147</v>
      </c>
      <c r="D325" s="1037"/>
      <c r="E325" s="359"/>
      <c r="F325" s="79"/>
      <c r="G325" s="961"/>
      <c r="H325" s="758"/>
      <c r="I325" s="177" t="s">
        <v>1146</v>
      </c>
      <c r="J325" s="235"/>
      <c r="K325" s="758"/>
      <c r="L325" s="889"/>
      <c r="M325" s="1023"/>
      <c r="N325" s="838"/>
      <c r="O325" s="129"/>
      <c r="P325" s="129"/>
      <c r="AH325" s="50">
        <v>0</v>
      </c>
    </row>
    <row r="326" s="50" customFormat="1" ht="0.75" hidden="1" customHeight="1">
      <c r="A326" s="143"/>
      <c r="B326" s="143"/>
      <c r="C326" s="409" t="s">
        <v>1156</v>
      </c>
      <c r="D326" s="1037"/>
      <c r="E326" s="359"/>
      <c r="F326" s="79"/>
      <c r="G326" s="1036"/>
      <c r="H326" s="758"/>
      <c r="I326" s="177"/>
      <c r="J326" s="235"/>
      <c r="K326" s="758"/>
      <c r="L326" s="889"/>
      <c r="M326" s="1023"/>
      <c r="N326" s="838"/>
      <c r="O326" s="129"/>
      <c r="P326" s="129"/>
      <c r="AH326" s="50">
        <v>0</v>
      </c>
    </row>
    <row r="327" s="50" customFormat="1" ht="18.75" hidden="1" customHeight="1">
      <c r="A327" s="143" t="s">
        <v>277</v>
      </c>
      <c r="B327" s="143" t="s">
        <v>278</v>
      </c>
      <c r="C327" s="409"/>
      <c r="D327" s="1037"/>
      <c r="E327" s="359"/>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61" t="str">
        <f>INDEX(PT_DIFFERENTIATION_NTAR,MATCH(B327,PT_DIFFERENTIATION_NTAR_ID,0))</f>
        <v/>
      </c>
      <c r="H327" s="431"/>
      <c r="I327" s="1027"/>
      <c r="J327" s="1028"/>
      <c r="K327" s="447"/>
      <c r="L327" s="431" t="s">
        <v>308</v>
      </c>
      <c r="M327" s="1023"/>
      <c r="N327" s="838"/>
      <c r="O327" s="129"/>
      <c r="P327" s="129"/>
      <c r="AH327" s="50">
        <v>0</v>
      </c>
    </row>
    <row r="328" s="50" customFormat="1" ht="18.75" hidden="1" customHeight="1">
      <c r="A328" s="143"/>
      <c r="B328" s="143"/>
      <c r="C328" s="409" t="s">
        <v>1147</v>
      </c>
      <c r="D328" s="1037"/>
      <c r="E328" s="359"/>
      <c r="F328" s="79"/>
      <c r="G328" s="961"/>
      <c r="H328" s="758"/>
      <c r="I328" s="177" t="s">
        <v>1146</v>
      </c>
      <c r="J328" s="235"/>
      <c r="K328" s="758"/>
      <c r="L328" s="889"/>
      <c r="M328" s="1023"/>
      <c r="N328" s="838"/>
      <c r="O328" s="129"/>
      <c r="P328" s="129"/>
      <c r="AH328" s="50">
        <v>0</v>
      </c>
    </row>
    <row r="329" s="50" customFormat="1" ht="1.05" customHeight="1">
      <c r="A329" s="143"/>
      <c r="B329" s="143"/>
      <c r="C329" s="409" t="s">
        <v>1156</v>
      </c>
      <c r="D329" s="1037"/>
      <c r="E329" s="359"/>
      <c r="F329" s="79"/>
      <c r="G329" s="1036"/>
      <c r="H329" s="758"/>
      <c r="I329" s="177"/>
      <c r="J329" s="235"/>
      <c r="K329" s="758"/>
      <c r="L329" s="889"/>
      <c r="M329" s="1023"/>
      <c r="N329" s="838"/>
      <c r="O329" s="129"/>
      <c r="P329" s="129"/>
      <c r="AH329" s="50">
        <v>1</v>
      </c>
    </row>
    <row r="330" s="143" customFormat="1" ht="3" customHeight="1">
      <c r="A330" s="143"/>
      <c r="B330" s="143"/>
      <c r="C330" s="143"/>
      <c r="E330" s="1042"/>
      <c r="F330" s="1042"/>
      <c r="G330" s="1042"/>
      <c r="H330" s="1042"/>
      <c r="I330" s="1042"/>
      <c r="J330" s="1042"/>
      <c r="K330" s="1042"/>
      <c r="L330" s="1042"/>
      <c r="M330" s="1042"/>
      <c r="O330" s="167"/>
      <c r="P330" s="167"/>
      <c r="AH330" s="143">
        <v>3</v>
      </c>
    </row>
    <row r="331" ht="26.25" customHeight="1">
      <c r="E331" s="1043"/>
      <c r="F331" s="588"/>
      <c r="G331" s="588"/>
      <c r="H331" s="588"/>
      <c r="I331" s="588"/>
      <c r="J331" s="588"/>
      <c r="K331" s="588"/>
      <c r="L331" s="588"/>
      <c r="M331" s="588"/>
      <c r="AH331" s="50">
        <v>25</v>
      </c>
    </row>
    <row r="332" ht="14.25" hidden="1" customHeight="1">
      <c r="A332" s="11" t="s">
        <v>82</v>
      </c>
      <c r="B332" s="11">
        <v>0</v>
      </c>
      <c r="C332" s="409">
        <v>0</v>
      </c>
      <c r="D332" s="492">
        <v>3</v>
      </c>
      <c r="E332" s="50">
        <v>6</v>
      </c>
      <c r="F332" s="50">
        <v>46</v>
      </c>
      <c r="G332" s="50">
        <v>35</v>
      </c>
      <c r="H332" s="50">
        <v>3</v>
      </c>
      <c r="I332" s="50">
        <v>11</v>
      </c>
      <c r="J332" s="50">
        <v>11</v>
      </c>
      <c r="K332" s="50">
        <v>35</v>
      </c>
      <c r="L332" s="50">
        <v>35</v>
      </c>
      <c r="M332" s="50">
        <v>84</v>
      </c>
      <c r="N332" s="50">
        <v>10</v>
      </c>
      <c r="O332" s="129">
        <v>10</v>
      </c>
      <c r="P332" s="129">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0" deleteRows="0" formatCells="1" formatColumns="0" formatRows="0" insertColumns="1" insertHyperlinks="1" insertRows="0" pivotTables="1" selectLockedCells="0" selectUnlockedCells="0" sheet="0" sort="0"/>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r:id="rId1" ref="L85"/>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DA0087-0059-45B5-B0EB-004D008E008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EF0010-008A-4A01-ADFD-00C300B600CA}"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750057-0075-4D84-9FE4-00300071003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G14" activeCellId="0" sqref="G14"/>
    </sheetView>
  </sheetViews>
  <sheetFormatPr defaultColWidth="10.57421875" defaultRowHeight="14.25" customHeight="1"/>
  <cols>
    <col customWidth="1" hidden="1" min="1" max="1" style="60" width="9.140625"/>
    <col customWidth="1" hidden="1" min="2" max="2" style="53" width="9.140625"/>
    <col customWidth="1" min="3" max="3" style="492" width="3.00390625"/>
    <col customWidth="1" min="4" max="4" style="50" width="6.00390625"/>
    <col customWidth="1" min="5" max="5" style="50" width="53.00390625"/>
    <col customWidth="1" min="6" max="6" style="50" width="63.140625"/>
    <col customWidth="1" min="7" max="7" style="50" width="76.140625"/>
    <col customWidth="1" min="8" max="8" style="50" width="89.00390625"/>
    <col customWidth="1" min="9" max="9" style="50" width="10.00390625"/>
    <col customWidth="1" min="10" max="11" style="129" width="10.00390625"/>
    <col customWidth="1" min="12" max="17" style="50" width="10.00390625"/>
    <col hidden="1" min="18" max="18" style="50" width="10.57421875"/>
  </cols>
  <sheetData>
    <row r="1" ht="22.5" hidden="1" customHeight="1">
      <c r="N1" s="877"/>
      <c r="O1" s="877"/>
      <c r="Q1" s="877"/>
      <c r="R1" s="50" t="s">
        <v>14</v>
      </c>
    </row>
    <row r="2" s="50" customFormat="1" ht="18.75" hidden="1" customHeight="1">
      <c r="A2" s="143"/>
      <c r="B2" s="53"/>
      <c r="C2" s="878" t="s">
        <v>496</v>
      </c>
      <c r="D2" s="359"/>
      <c r="E2" s="397"/>
      <c r="F2" s="1024"/>
      <c r="G2" s="484"/>
      <c r="H2" s="50"/>
      <c r="I2" s="129"/>
      <c r="J2" s="129"/>
      <c r="R2" s="50">
        <v>0</v>
      </c>
    </row>
    <row r="3" ht="14.25" hidden="1" customHeight="1">
      <c r="R3" s="50">
        <v>0</v>
      </c>
    </row>
    <row r="4" ht="6.2999999999999998" customHeight="1">
      <c r="C4" s="553"/>
      <c r="D4" s="91"/>
      <c r="E4" s="91"/>
      <c r="F4" s="91"/>
      <c r="G4" s="880"/>
      <c r="H4" s="880"/>
      <c r="R4" s="50">
        <v>6</v>
      </c>
    </row>
    <row r="5" ht="34.5" customHeight="1">
      <c r="C5" s="553"/>
      <c r="D5" s="236" t="str">
        <f>PURCH_NAME_FORM</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37"/>
      <c r="F5" s="237"/>
      <c r="G5" s="238"/>
      <c r="H5" s="239"/>
      <c r="R5" s="50">
        <v>33</v>
      </c>
    </row>
    <row r="6" s="50" customFormat="1" ht="18" customHeight="1">
      <c r="A6" s="60"/>
      <c r="B6" s="53"/>
      <c r="C6" s="553"/>
      <c r="D6" s="422" t="str">
        <f>IF(org=0,"Не определено",org)</f>
        <v xml:space="preserve">филиал Пермская ГРЭС АО "Интер РАО - Электрогенерация"</v>
      </c>
      <c r="E6" s="423"/>
      <c r="F6" s="423"/>
      <c r="G6" s="424"/>
      <c r="H6" s="239"/>
      <c r="J6" s="129"/>
      <c r="K6" s="129"/>
      <c r="R6" s="50">
        <v>17</v>
      </c>
    </row>
    <row r="7" ht="14.65" customHeight="1">
      <c r="C7" s="553"/>
      <c r="D7" s="91"/>
      <c r="E7" s="83"/>
      <c r="F7" s="83"/>
      <c r="G7" s="356"/>
      <c r="H7" s="881"/>
      <c r="R7" s="50">
        <v>14</v>
      </c>
    </row>
    <row r="8" ht="14.65" customHeight="1">
      <c r="C8" s="553"/>
      <c r="D8" s="362" t="s">
        <v>302</v>
      </c>
      <c r="E8" s="362"/>
      <c r="F8" s="362"/>
      <c r="G8" s="362"/>
      <c r="H8" s="885" t="s">
        <v>303</v>
      </c>
      <c r="R8" s="50">
        <v>14</v>
      </c>
    </row>
    <row r="9" ht="24" customHeight="1">
      <c r="C9" s="553"/>
      <c r="D9" s="362" t="s">
        <v>88</v>
      </c>
      <c r="E9" s="246" t="s">
        <v>304</v>
      </c>
      <c r="F9" s="246" t="s">
        <v>305</v>
      </c>
      <c r="G9" s="246" t="s">
        <v>392</v>
      </c>
      <c r="H9" s="885"/>
      <c r="R9" s="50">
        <v>23</v>
      </c>
    </row>
    <row r="10" ht="35.25" customHeight="1">
      <c r="A10" s="143"/>
      <c r="C10" s="553"/>
      <c r="D10" s="359" t="s">
        <v>109</v>
      </c>
      <c r="E10" s="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холодного водоснабжения</v>
      </c>
      <c r="F10" s="1024" t="s">
        <v>1157</v>
      </c>
      <c r="G10" s="1041" t="s">
        <v>1158</v>
      </c>
      <c r="H10" s="285" t="s">
        <v>1159</v>
      </c>
      <c r="R10" s="50">
        <v>14</v>
      </c>
    </row>
    <row r="11" ht="35.25" customHeight="1">
      <c r="A11" s="143"/>
      <c r="C11" s="553"/>
      <c r="D11" s="359" t="s">
        <v>110</v>
      </c>
      <c r="E11" s="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холодного водоснабжения</v>
      </c>
      <c r="F11" s="1024" t="s">
        <v>1160</v>
      </c>
      <c r="G11" s="484" t="s">
        <v>1161</v>
      </c>
      <c r="H11" s="287"/>
      <c r="R11" s="50">
        <v>14</v>
      </c>
    </row>
    <row r="12" ht="24" customHeight="1">
      <c r="A12" s="143"/>
      <c r="C12" s="396"/>
      <c r="D12" s="359" t="s">
        <v>90</v>
      </c>
      <c r="E12" s="887" t="str">
        <f>"Сведения о планировании закупочных процедур"&amp;IF(TEMPLATE_SPHERE="TKO"," &lt;1&gt;","")</f>
        <v xml:space="preserve">Сведения о планировании закупочных процедур</v>
      </c>
      <c r="F12" s="1024" t="s">
        <v>1162</v>
      </c>
      <c r="G12" s="484" t="s">
        <v>1163</v>
      </c>
      <c r="H12" s="28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129"/>
      <c r="K12" s="50"/>
      <c r="R12" s="50">
        <v>14</v>
      </c>
    </row>
    <row r="13" ht="15" customHeight="1">
      <c r="A13" s="143"/>
      <c r="C13" s="396"/>
      <c r="D13" s="359" t="s">
        <v>91</v>
      </c>
      <c r="E13" s="887" t="str">
        <f>"Сведения о результатах проведения закупочных процедур"&amp;IF(TEMPLATE_SPHERE="TKO"," &lt;1&gt;","")</f>
        <v xml:space="preserve">Сведения о результатах проведения закупочных процедур</v>
      </c>
      <c r="F13" s="1024" t="s">
        <v>1164</v>
      </c>
      <c r="G13" s="484" t="s">
        <v>1165</v>
      </c>
      <c r="H13" s="287"/>
      <c r="I13" s="129"/>
      <c r="K13" s="50"/>
      <c r="R13" s="50">
        <v>14</v>
      </c>
    </row>
    <row r="14" ht="14.65" customHeight="1">
      <c r="A14" s="143"/>
      <c r="C14" s="553"/>
      <c r="D14" s="888"/>
      <c r="E14" s="177" t="s">
        <v>324</v>
      </c>
      <c r="F14" s="235"/>
      <c r="G14" s="889"/>
      <c r="H14" s="289"/>
      <c r="R14" s="50">
        <v>14</v>
      </c>
    </row>
    <row r="15" s="50" customFormat="1" ht="14.65" customHeight="1">
      <c r="A15" s="143"/>
      <c r="B15" s="53"/>
      <c r="C15" s="553"/>
      <c r="D15" s="832"/>
      <c r="E15" s="890"/>
      <c r="F15" s="891"/>
      <c r="G15" s="892"/>
      <c r="H15" s="1044"/>
      <c r="J15" s="129"/>
      <c r="K15" s="129"/>
      <c r="R15" s="50">
        <v>14</v>
      </c>
    </row>
    <row r="16" ht="14.65" customHeight="1">
      <c r="D16" s="490"/>
      <c r="E16" s="588"/>
      <c r="F16" s="588"/>
      <c r="G16" s="588"/>
      <c r="H16" s="588"/>
      <c r="R16" s="50">
        <v>14</v>
      </c>
    </row>
    <row r="17" ht="22.5" hidden="1" customHeight="1">
      <c r="A17" s="60" t="s">
        <v>82</v>
      </c>
      <c r="B17" s="53">
        <v>0</v>
      </c>
      <c r="C17" s="492">
        <v>3</v>
      </c>
      <c r="D17" s="50">
        <v>6</v>
      </c>
      <c r="E17" s="50">
        <v>53</v>
      </c>
      <c r="F17" s="50">
        <v>35</v>
      </c>
      <c r="G17" s="50">
        <v>35</v>
      </c>
      <c r="H17" s="50">
        <v>89</v>
      </c>
      <c r="I17" s="50">
        <v>10</v>
      </c>
      <c r="J17" s="129">
        <v>10</v>
      </c>
      <c r="K17" s="129">
        <v>10</v>
      </c>
      <c r="L17" s="50">
        <v>10</v>
      </c>
      <c r="M17" s="50">
        <v>10</v>
      </c>
      <c r="N17" s="50">
        <v>10</v>
      </c>
      <c r="O17" s="50">
        <v>10</v>
      </c>
      <c r="P17" s="50">
        <v>10</v>
      </c>
      <c r="Q17" s="50">
        <v>10</v>
      </c>
      <c r="R17" s="50">
        <v>23</v>
      </c>
    </row>
  </sheetData>
  <sheetProtection autoFilter="0" deleteColumns="0" deleteRows="0" formatCells="1" formatColumns="0" formatRows="0" insertColumns="1" insertHyperlinks="1" insertRows="0" pivotTables="1" selectLockedCells="0" selectUnlockedCells="0" sheet="0" sort="0"/>
  <mergeCells count="7">
    <mergeCell ref="E16:H16"/>
    <mergeCell ref="H10:H11"/>
    <mergeCell ref="H12:H14"/>
    <mergeCell ref="D5:G5"/>
    <mergeCell ref="D8:G8"/>
    <mergeCell ref="H8:H9"/>
    <mergeCell ref="D6:G6"/>
  </mergeCells>
  <hyperlinks>
    <hyperlink r:id="rId1" ref="G10"/>
    <hyperlink r:id="rId2" ref="G11" tooltip="https://zakupki.gov.ru/epz/organization/view223/info.html?agencyId=12496"/>
    <hyperlink r:id="rId3" ref="G13" tooltip="https://zakupki.gov.ru/epz/order/extendedsearch/results.html"/>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6006C-00A6-4893-B1C2-00F900BA0038}"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 xr:uid="{00DD00C3-00E4-4212-A52F-005D00B9003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K89" activeCellId="0" sqref="K89:K92"/>
    </sheetView>
  </sheetViews>
  <sheetFormatPr defaultColWidth="9.140625" defaultRowHeight="11.25" customHeight="1"/>
  <cols>
    <col customWidth="1" hidden="1" min="1" max="2" style="129" width="3.7109375"/>
    <col customWidth="1" min="3" max="3" style="184" width="3.00390625"/>
    <col customWidth="1" min="4" max="4" style="184" width="6.00390625"/>
    <col customWidth="1" min="5" max="5" style="184" width="42.00390625"/>
    <col customWidth="1" min="6" max="6" style="184" width="15.00390625"/>
    <col customWidth="1" min="7" max="7" style="184" width="42.00390625"/>
    <col customWidth="1" min="8" max="8" style="184" width="3.00390625"/>
    <col customWidth="1" min="9" max="9" style="184" width="5.00390625"/>
    <col customWidth="1" min="10" max="10" style="184" width="47.00390625"/>
    <col customWidth="1" min="11" max="12" style="184" width="3.00390625"/>
    <col customWidth="1" min="13" max="13" style="184" width="5.00390625"/>
    <col customWidth="1" min="14" max="14" style="184" width="28.00390625"/>
    <col customWidth="1" min="15" max="16" style="184" width="3.00390625"/>
    <col customWidth="1" min="17" max="17" style="184" width="5.00390625"/>
    <col customWidth="1" min="18" max="18" style="184" width="34.00390625"/>
    <col customWidth="1" hidden="1" min="19" max="20" style="184" width="3.7109375"/>
    <col customWidth="1" hidden="1" min="21" max="21" style="184" width="5.7109375"/>
    <col customWidth="1" hidden="1" min="22" max="22" style="184" width="34.421875"/>
    <col customWidth="1" min="23" max="23" style="184" width="30.00390625"/>
    <col customWidth="1" min="24" max="24" style="184" width="3.00390625"/>
    <col customWidth="1" hidden="1" min="25" max="28" style="106" width="9.8515625"/>
    <col customWidth="1" hidden="1" min="29" max="29" style="106" width="27.00390625"/>
    <col customWidth="1" hidden="1" min="30" max="30" style="106" width="10.57421875"/>
    <col customWidth="1" hidden="1" min="31" max="31" style="106" width="10.7109375"/>
    <col customWidth="1" hidden="1" min="32" max="32" style="106" width="10.00390625"/>
    <col customWidth="1" hidden="1" min="33" max="33" style="106" width="12.8515625"/>
    <col customWidth="1" hidden="1" min="34" max="34" style="106" width="24.421875"/>
    <col customWidth="1" hidden="1" min="35" max="35" style="106" width="15.8515625"/>
    <col customWidth="1" hidden="1" min="36" max="36" style="106" width="19.421875"/>
    <col customWidth="1" hidden="1" min="37" max="37" style="106" width="11.00390625"/>
    <col customWidth="1" hidden="1" min="38" max="38" style="106" width="23.57421875"/>
    <col customWidth="1" hidden="1" min="39" max="39" style="106" width="23.8515625"/>
    <col customWidth="1" hidden="1" min="40" max="40" style="106" width="25.28125"/>
    <col customWidth="1" hidden="1" min="41" max="41" style="106" width="16.8515625"/>
    <col customWidth="1" hidden="1" min="42" max="42" style="106" width="29.57421875"/>
    <col customWidth="1" hidden="1" min="43" max="43" style="106" width="29.8515625"/>
    <col hidden="1" min="44" max="44" style="184" width="9.140625"/>
  </cols>
  <sheetData>
    <row r="1" ht="11.25" hidden="1" customHeight="1">
      <c r="A1" s="129"/>
      <c r="AR1" s="184" t="s">
        <v>14</v>
      </c>
    </row>
    <row r="2" ht="11.25" hidden="1" customHeight="1">
      <c r="AR2" s="184">
        <v>0</v>
      </c>
    </row>
    <row r="3" ht="11.25" hidden="1" customHeight="1">
      <c r="AR3" s="184">
        <v>0</v>
      </c>
    </row>
    <row r="4" ht="3" customHeight="1">
      <c r="AR4" s="184">
        <v>3</v>
      </c>
    </row>
    <row r="5" s="188" customFormat="1" ht="30.449999999999999" customHeight="1">
      <c r="A5" s="193"/>
      <c r="B5" s="193"/>
      <c r="D5" s="23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37"/>
      <c r="F5" s="237"/>
      <c r="G5" s="237"/>
      <c r="H5" s="237"/>
      <c r="I5" s="237"/>
      <c r="J5" s="238"/>
      <c r="K5" s="239"/>
      <c r="L5" s="240"/>
      <c r="M5" s="240"/>
      <c r="N5" s="240"/>
      <c r="O5" s="240"/>
      <c r="P5" s="240"/>
      <c r="Q5" s="240"/>
      <c r="R5" s="240"/>
      <c r="S5" s="240"/>
      <c r="T5" s="240"/>
      <c r="U5" s="240"/>
      <c r="V5" s="240"/>
      <c r="W5" s="240"/>
      <c r="Y5" s="194"/>
      <c r="Z5" s="194"/>
      <c r="AA5" s="194"/>
      <c r="AB5" s="194"/>
      <c r="AC5" s="194"/>
      <c r="AD5" s="194"/>
      <c r="AE5" s="194"/>
      <c r="AF5" s="194"/>
      <c r="AG5" s="194"/>
      <c r="AH5" s="194"/>
      <c r="AI5" s="194"/>
      <c r="AJ5" s="194"/>
      <c r="AK5" s="194"/>
      <c r="AL5" s="194"/>
      <c r="AM5" s="194"/>
      <c r="AN5" s="194"/>
      <c r="AO5" s="194"/>
      <c r="AP5" s="194"/>
      <c r="AQ5" s="194"/>
      <c r="AR5" s="188">
        <v>29</v>
      </c>
    </row>
    <row r="6" s="188" customFormat="1" ht="14.65" customHeight="1">
      <c r="A6" s="106"/>
      <c r="B6" s="106"/>
      <c r="C6" s="106"/>
      <c r="D6" s="241" t="str">
        <f>IF(org=0,"Не определено",org)</f>
        <v xml:space="preserve">филиал Пермская ГРЭС АО "Интер РАО - Электрогенерация"</v>
      </c>
      <c r="E6" s="241"/>
      <c r="F6" s="241"/>
      <c r="G6" s="241"/>
      <c r="H6" s="241"/>
      <c r="I6" s="241"/>
      <c r="J6" s="241"/>
      <c r="K6" s="192"/>
      <c r="L6" s="192"/>
      <c r="M6" s="192"/>
      <c r="N6" s="192"/>
      <c r="O6" s="193"/>
      <c r="P6" s="193"/>
      <c r="Q6" s="193"/>
      <c r="R6" s="193"/>
      <c r="S6" s="193"/>
      <c r="T6" s="193"/>
      <c r="U6" s="193"/>
      <c r="V6" s="193"/>
      <c r="W6" s="193"/>
      <c r="X6" s="192"/>
      <c r="Y6" s="194"/>
      <c r="Z6" s="194"/>
      <c r="AA6" s="194"/>
      <c r="AB6" s="194"/>
      <c r="AC6" s="194"/>
      <c r="AD6" s="194"/>
      <c r="AE6" s="194"/>
      <c r="AF6" s="194"/>
      <c r="AG6" s="194"/>
      <c r="AH6" s="194"/>
      <c r="AI6" s="194"/>
      <c r="AJ6" s="194"/>
      <c r="AK6" s="194"/>
      <c r="AL6" s="194"/>
      <c r="AM6" s="194"/>
      <c r="AN6" s="194"/>
      <c r="AO6" s="194"/>
      <c r="AP6" s="194"/>
      <c r="AQ6" s="194"/>
      <c r="AR6" s="188">
        <v>14</v>
      </c>
    </row>
    <row r="7" s="242" customFormat="1" ht="11.5" customHeight="1">
      <c r="A7" s="129"/>
      <c r="B7" s="129"/>
      <c r="D7" s="243"/>
      <c r="E7" s="244"/>
      <c r="F7" s="244"/>
      <c r="G7" s="244"/>
      <c r="H7" s="244"/>
      <c r="I7" s="244"/>
      <c r="J7" s="245"/>
      <c r="S7" s="242"/>
      <c r="T7" s="242"/>
      <c r="U7" s="242"/>
      <c r="V7" s="242"/>
      <c r="Y7" s="106"/>
      <c r="Z7" s="106"/>
      <c r="AA7" s="106"/>
      <c r="AB7" s="106"/>
      <c r="AC7" s="106"/>
      <c r="AD7" s="106"/>
      <c r="AE7" s="106"/>
      <c r="AF7" s="106"/>
      <c r="AG7" s="106"/>
      <c r="AH7" s="106"/>
      <c r="AI7" s="106"/>
      <c r="AJ7" s="106"/>
      <c r="AK7" s="106"/>
      <c r="AL7" s="106"/>
      <c r="AM7" s="106"/>
      <c r="AN7" s="106"/>
      <c r="AO7" s="106"/>
      <c r="AP7" s="106"/>
      <c r="AQ7" s="106"/>
      <c r="AR7" s="242">
        <v>11</v>
      </c>
    </row>
    <row r="8" s="188" customFormat="1" ht="1.05" customHeight="1">
      <c r="A8" s="193"/>
      <c r="B8" s="193"/>
      <c r="D8" s="197"/>
      <c r="E8" s="197"/>
      <c r="F8" s="197"/>
      <c r="G8" s="197"/>
      <c r="H8" s="197"/>
      <c r="I8" s="197"/>
      <c r="J8" s="197"/>
      <c r="K8" s="197"/>
      <c r="L8" s="197"/>
      <c r="M8" s="197"/>
      <c r="N8" s="197"/>
      <c r="O8" s="197"/>
      <c r="P8" s="197"/>
      <c r="Q8" s="197"/>
      <c r="R8" s="197"/>
      <c r="S8" s="197"/>
      <c r="T8" s="197"/>
      <c r="U8" s="197"/>
      <c r="V8" s="197"/>
      <c r="W8" s="197"/>
      <c r="X8" s="188"/>
      <c r="Y8" s="194"/>
      <c r="Z8" s="194"/>
      <c r="AA8" s="194"/>
      <c r="AB8" s="194"/>
      <c r="AC8" s="194"/>
      <c r="AD8" s="194"/>
      <c r="AE8" s="194"/>
      <c r="AF8" s="194"/>
      <c r="AG8" s="194"/>
      <c r="AH8" s="194"/>
      <c r="AI8" s="194"/>
      <c r="AJ8" s="194"/>
      <c r="AK8" s="194"/>
      <c r="AL8" s="194"/>
      <c r="AM8" s="194"/>
      <c r="AN8" s="194"/>
      <c r="AO8" s="194"/>
      <c r="AP8" s="194"/>
      <c r="AQ8" s="194"/>
      <c r="AR8" s="188">
        <v>1</v>
      </c>
    </row>
    <row r="9" ht="28.5" customHeight="1">
      <c r="D9" s="157" t="s">
        <v>88</v>
      </c>
      <c r="E9" s="73" t="s">
        <v>122</v>
      </c>
      <c r="F9" s="72"/>
      <c r="G9" s="157" t="s">
        <v>105</v>
      </c>
      <c r="H9" s="157" t="s">
        <v>88</v>
      </c>
      <c r="I9" s="157"/>
      <c r="J9" s="157" t="s">
        <v>123</v>
      </c>
      <c r="K9" s="246" t="s">
        <v>124</v>
      </c>
      <c r="L9" s="246"/>
      <c r="M9" s="246"/>
      <c r="N9" s="246"/>
      <c r="O9" s="246" t="s">
        <v>125</v>
      </c>
      <c r="P9" s="246"/>
      <c r="Q9" s="246"/>
      <c r="R9" s="246"/>
      <c r="S9" s="246" t="s">
        <v>126</v>
      </c>
      <c r="T9" s="246"/>
      <c r="U9" s="246"/>
      <c r="V9" s="246"/>
      <c r="W9" s="157" t="s">
        <v>127</v>
      </c>
      <c r="AR9" s="184">
        <v>27</v>
      </c>
    </row>
    <row r="10" ht="31.5" customHeight="1">
      <c r="D10" s="157"/>
      <c r="E10" s="157" t="s">
        <v>89</v>
      </c>
      <c r="F10" s="157" t="s">
        <v>128</v>
      </c>
      <c r="G10" s="157"/>
      <c r="H10" s="157"/>
      <c r="I10" s="157"/>
      <c r="J10" s="157"/>
      <c r="K10" s="157" t="s">
        <v>108</v>
      </c>
      <c r="L10" s="157" t="s">
        <v>88</v>
      </c>
      <c r="M10" s="157"/>
      <c r="N10" s="157" t="s">
        <v>129</v>
      </c>
      <c r="O10" s="157" t="s">
        <v>108</v>
      </c>
      <c r="P10" s="157" t="s">
        <v>88</v>
      </c>
      <c r="Q10" s="157"/>
      <c r="R10" s="157" t="s">
        <v>129</v>
      </c>
      <c r="S10" s="157" t="s">
        <v>108</v>
      </c>
      <c r="T10" s="157" t="s">
        <v>88</v>
      </c>
      <c r="U10" s="157"/>
      <c r="V10" s="157" t="s">
        <v>89</v>
      </c>
      <c r="W10" s="157"/>
      <c r="Z10" s="106" t="s">
        <v>130</v>
      </c>
      <c r="AA10" s="106" t="s">
        <v>131</v>
      </c>
      <c r="AB10" s="106" t="s">
        <v>132</v>
      </c>
      <c r="AC10" s="106" t="s">
        <v>133</v>
      </c>
      <c r="AD10" s="106" t="s">
        <v>134</v>
      </c>
      <c r="AE10" s="106" t="s">
        <v>135</v>
      </c>
      <c r="AF10" s="106" t="s">
        <v>136</v>
      </c>
      <c r="AG10" s="106" t="s">
        <v>137</v>
      </c>
      <c r="AH10" s="106" t="s">
        <v>138</v>
      </c>
      <c r="AI10" s="106" t="s">
        <v>139</v>
      </c>
      <c r="AJ10" s="106" t="s">
        <v>140</v>
      </c>
      <c r="AK10" s="106" t="s">
        <v>141</v>
      </c>
      <c r="AL10" s="106" t="s">
        <v>142</v>
      </c>
      <c r="AM10" s="106" t="s">
        <v>143</v>
      </c>
      <c r="AN10" s="106" t="s">
        <v>144</v>
      </c>
      <c r="AO10" s="106" t="s">
        <v>145</v>
      </c>
      <c r="AP10" s="106" t="s">
        <v>146</v>
      </c>
      <c r="AQ10" s="106" t="s">
        <v>147</v>
      </c>
      <c r="AR10" s="184">
        <v>30</v>
      </c>
    </row>
    <row r="11" s="129" customFormat="1" ht="12" hidden="1" customHeight="1">
      <c r="D11" s="247" t="s">
        <v>109</v>
      </c>
      <c r="E11" s="247" t="s">
        <v>110</v>
      </c>
      <c r="F11" s="247"/>
      <c r="G11" s="247" t="s">
        <v>90</v>
      </c>
      <c r="H11" s="248" t="s">
        <v>111</v>
      </c>
      <c r="I11" s="248"/>
      <c r="J11" s="247" t="s">
        <v>92</v>
      </c>
      <c r="K11" s="247" t="s">
        <v>93</v>
      </c>
      <c r="L11" s="248" t="s">
        <v>112</v>
      </c>
      <c r="M11" s="248"/>
      <c r="N11" s="247" t="s">
        <v>99</v>
      </c>
      <c r="O11" s="247" t="s">
        <v>148</v>
      </c>
      <c r="P11" s="248" t="s">
        <v>149</v>
      </c>
      <c r="Q11" s="248"/>
      <c r="R11" s="247" t="s">
        <v>150</v>
      </c>
      <c r="S11" s="247" t="s">
        <v>149</v>
      </c>
      <c r="T11" s="248" t="s">
        <v>150</v>
      </c>
      <c r="U11" s="248"/>
      <c r="V11" s="247" t="s">
        <v>151</v>
      </c>
      <c r="W11" s="247" t="s">
        <v>152</v>
      </c>
      <c r="Y11" s="106"/>
      <c r="Z11" s="106"/>
      <c r="AA11" s="106"/>
      <c r="AB11" s="106"/>
      <c r="AC11" s="106"/>
      <c r="AD11" s="106"/>
      <c r="AE11" s="106"/>
      <c r="AF11" s="106"/>
      <c r="AG11" s="106"/>
      <c r="AH11" s="106"/>
      <c r="AI11" s="106"/>
      <c r="AJ11" s="106"/>
      <c r="AK11" s="106"/>
      <c r="AL11" s="106"/>
      <c r="AM11" s="106"/>
      <c r="AN11" s="106"/>
      <c r="AO11" s="106"/>
      <c r="AP11" s="106"/>
      <c r="AQ11" s="106"/>
      <c r="AR11" s="129">
        <v>0</v>
      </c>
    </row>
    <row r="12" ht="14.25" hidden="1" customHeight="1">
      <c r="C12" s="128"/>
      <c r="D12" s="249">
        <v>0</v>
      </c>
      <c r="E12" s="157"/>
      <c r="F12" s="157"/>
      <c r="G12" s="157"/>
      <c r="H12" s="250"/>
      <c r="I12" s="250"/>
      <c r="J12" s="218"/>
      <c r="K12" s="218"/>
      <c r="L12" s="218"/>
      <c r="M12" s="218"/>
      <c r="N12" s="251"/>
      <c r="O12" s="218"/>
      <c r="P12" s="218"/>
      <c r="Q12" s="218"/>
      <c r="R12" s="252"/>
      <c r="S12" s="218"/>
      <c r="T12" s="218"/>
      <c r="U12" s="218"/>
      <c r="V12" s="252"/>
      <c r="W12" s="218"/>
      <c r="X12" s="184"/>
      <c r="AR12" s="184">
        <v>0</v>
      </c>
    </row>
    <row r="13" s="184" customFormat="1" ht="17.25" hidden="1" customHeight="1">
      <c r="A13" s="253"/>
      <c r="C13" s="128"/>
      <c r="D13" s="254">
        <v>1</v>
      </c>
      <c r="E13" s="255" t="s">
        <v>153</v>
      </c>
      <c r="F13" s="256" t="s">
        <v>19</v>
      </c>
      <c r="G13" s="255"/>
      <c r="H13" s="257"/>
      <c r="I13" s="258"/>
      <c r="J13" s="259"/>
      <c r="K13" s="260"/>
      <c r="L13" s="260"/>
      <c r="M13" s="260"/>
      <c r="N13" s="261"/>
      <c r="O13" s="260"/>
      <c r="P13" s="260"/>
      <c r="Q13" s="260"/>
      <c r="R13" s="262"/>
      <c r="S13" s="260"/>
      <c r="T13" s="260"/>
      <c r="U13" s="260"/>
      <c r="V13" s="262"/>
      <c r="W13" s="263"/>
      <c r="Y13" s="264"/>
      <c r="Z13" s="264"/>
      <c r="AA13" s="264"/>
      <c r="AB13" s="264"/>
      <c r="AC13" s="264" t="s">
        <v>154</v>
      </c>
      <c r="AD13" s="264" t="s">
        <v>155</v>
      </c>
      <c r="AE13" s="264" t="s">
        <v>156</v>
      </c>
      <c r="AF13" s="264" t="s">
        <v>157</v>
      </c>
      <c r="AG13" s="264" t="s">
        <v>158</v>
      </c>
      <c r="AH13" s="264"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4" t="str">
        <f>IF($G$13=0,"",$G$13)</f>
        <v/>
      </c>
      <c r="AJ13" s="264" t="str">
        <f>IF($J$13=0,"",$J$13)</f>
        <v/>
      </c>
      <c r="AK13" s="264" t="str">
        <f>IF($K$13="нет","без дифференциации",IF($N$13=0,"",$N$13))</f>
        <v/>
      </c>
      <c r="AL13" s="264" t="str">
        <f>IF($O$13="нет","без дифференциации",IF($R$13=0,"",$R$13))</f>
        <v/>
      </c>
      <c r="AM13" s="264" t="str">
        <f>IF($S$13="нет","без дифференциации",IF($V$13=0,"",$V$13))</f>
        <v/>
      </c>
      <c r="AN13" s="264">
        <f>$I$13</f>
        <v>0</v>
      </c>
      <c r="AO13" s="264" t="str">
        <f>$I$13&amp;"."&amp;$M$13</f>
        <v>.</v>
      </c>
      <c r="AP13" s="264" t="str">
        <f>$I$13&amp;"."&amp;$M$13&amp;"."&amp;$Q$13</f>
        <v>..</v>
      </c>
      <c r="AQ13" s="264" t="str">
        <f>$I$13&amp;"."&amp;$M$13&amp;"."&amp;$Q$13&amp;"."&amp;$U$13</f>
        <v>...</v>
      </c>
      <c r="AR13" s="184">
        <v>0</v>
      </c>
    </row>
    <row r="14" s="184" customFormat="1" ht="17.25" hidden="1" customHeight="1">
      <c r="A14" s="253"/>
      <c r="C14" s="184"/>
      <c r="D14" s="254"/>
      <c r="E14" s="255"/>
      <c r="F14" s="265"/>
      <c r="G14" s="255"/>
      <c r="H14" s="266"/>
      <c r="I14" s="267"/>
      <c r="J14" s="268"/>
      <c r="K14" s="125"/>
      <c r="L14" s="125"/>
      <c r="M14" s="125"/>
      <c r="N14" s="269"/>
      <c r="O14" s="125"/>
      <c r="P14" s="125"/>
      <c r="Q14" s="125"/>
      <c r="R14" s="270"/>
      <c r="S14" s="125"/>
      <c r="T14" s="271"/>
      <c r="U14" s="271"/>
      <c r="V14" s="271"/>
      <c r="W14" s="272"/>
      <c r="Y14" s="106"/>
      <c r="Z14" s="106"/>
      <c r="AA14" s="106"/>
      <c r="AB14" s="106"/>
      <c r="AC14" s="106"/>
      <c r="AD14" s="106"/>
      <c r="AE14" s="106"/>
      <c r="AF14" s="106"/>
      <c r="AG14" s="106"/>
      <c r="AH14" s="106"/>
      <c r="AI14" s="106"/>
      <c r="AJ14" s="106"/>
      <c r="AK14" s="106"/>
      <c r="AL14" s="106"/>
      <c r="AM14" s="106"/>
      <c r="AN14" s="106"/>
      <c r="AO14" s="106"/>
      <c r="AP14" s="106"/>
      <c r="AQ14" s="106"/>
      <c r="AR14" s="184">
        <v>0</v>
      </c>
    </row>
    <row r="15" s="184" customFormat="1" ht="17.25" hidden="1" customHeight="1">
      <c r="A15" s="253"/>
      <c r="C15" s="128"/>
      <c r="D15" s="254"/>
      <c r="E15" s="255"/>
      <c r="F15" s="265"/>
      <c r="G15" s="255"/>
      <c r="H15" s="266"/>
      <c r="I15" s="267"/>
      <c r="J15" s="273"/>
      <c r="K15" s="125"/>
      <c r="L15" s="125"/>
      <c r="M15" s="125"/>
      <c r="N15" s="270"/>
      <c r="O15" s="125"/>
      <c r="P15" s="125"/>
      <c r="Q15" s="271"/>
      <c r="R15" s="271"/>
      <c r="S15" s="184"/>
      <c r="T15" s="184"/>
      <c r="U15" s="184"/>
      <c r="V15" s="184"/>
      <c r="W15" s="272"/>
      <c r="Y15" s="264"/>
      <c r="Z15" s="264"/>
      <c r="AA15" s="264"/>
      <c r="AB15" s="264"/>
      <c r="AC15" s="264"/>
      <c r="AD15" s="264"/>
      <c r="AE15" s="264"/>
      <c r="AF15" s="264"/>
      <c r="AG15" s="264"/>
      <c r="AH15" s="264"/>
      <c r="AI15" s="264"/>
      <c r="AJ15" s="264"/>
      <c r="AK15" s="264"/>
      <c r="AL15" s="264"/>
      <c r="AM15" s="264"/>
      <c r="AN15" s="264"/>
      <c r="AO15" s="264"/>
      <c r="AP15" s="264"/>
      <c r="AQ15" s="264"/>
      <c r="AR15" s="184">
        <v>0</v>
      </c>
    </row>
    <row r="16" s="184" customFormat="1" ht="17.25" hidden="1" customHeight="1">
      <c r="A16" s="253"/>
      <c r="C16" s="184"/>
      <c r="D16" s="254"/>
      <c r="E16" s="255"/>
      <c r="F16" s="265"/>
      <c r="G16" s="255"/>
      <c r="H16" s="266"/>
      <c r="I16" s="267"/>
      <c r="J16" s="273"/>
      <c r="K16" s="125"/>
      <c r="L16" s="271"/>
      <c r="M16" s="271"/>
      <c r="N16" s="271"/>
      <c r="O16" s="271"/>
      <c r="P16" s="271"/>
      <c r="Q16" s="271"/>
      <c r="R16" s="271"/>
      <c r="S16" s="184"/>
      <c r="T16" s="184"/>
      <c r="U16" s="184"/>
      <c r="V16" s="184"/>
      <c r="W16" s="272"/>
      <c r="Y16" s="106"/>
      <c r="Z16" s="106"/>
      <c r="AA16" s="106"/>
      <c r="AB16" s="106"/>
      <c r="AC16" s="106"/>
      <c r="AD16" s="106"/>
      <c r="AE16" s="106"/>
      <c r="AF16" s="106"/>
      <c r="AG16" s="106"/>
      <c r="AH16" s="106"/>
      <c r="AI16" s="106"/>
      <c r="AJ16" s="106"/>
      <c r="AK16" s="106"/>
      <c r="AL16" s="106"/>
      <c r="AM16" s="106"/>
      <c r="AN16" s="106"/>
      <c r="AO16" s="106"/>
      <c r="AP16" s="106"/>
      <c r="AQ16" s="106"/>
      <c r="AR16" s="184">
        <v>0</v>
      </c>
    </row>
    <row r="17" s="184" customFormat="1" ht="17.25" hidden="1" customHeight="1">
      <c r="A17" s="253"/>
      <c r="C17" s="184"/>
      <c r="D17" s="274"/>
      <c r="E17" s="275"/>
      <c r="F17" s="276"/>
      <c r="G17" s="275"/>
      <c r="H17" s="277"/>
      <c r="I17" s="278"/>
      <c r="J17" s="278"/>
      <c r="K17" s="278"/>
      <c r="L17" s="278"/>
      <c r="M17" s="278"/>
      <c r="N17" s="278"/>
      <c r="O17" s="278"/>
      <c r="P17" s="278"/>
      <c r="Q17" s="278"/>
      <c r="R17" s="278"/>
      <c r="S17" s="279"/>
      <c r="T17" s="279"/>
      <c r="U17" s="279"/>
      <c r="V17" s="279"/>
      <c r="W17" s="280"/>
      <c r="Y17" s="106"/>
      <c r="Z17" s="106"/>
      <c r="AA17" s="106"/>
      <c r="AB17" s="106"/>
      <c r="AC17" s="106"/>
      <c r="AD17" s="106"/>
      <c r="AE17" s="106"/>
      <c r="AF17" s="106"/>
      <c r="AG17" s="106"/>
      <c r="AH17" s="106"/>
      <c r="AI17" s="106"/>
      <c r="AJ17" s="106"/>
      <c r="AK17" s="106"/>
      <c r="AL17" s="106"/>
      <c r="AM17" s="106"/>
      <c r="AN17" s="106"/>
      <c r="AO17" s="106"/>
      <c r="AP17" s="106"/>
      <c r="AQ17" s="106"/>
      <c r="AR17" s="184">
        <v>0</v>
      </c>
    </row>
    <row r="18" s="184" customFormat="1" ht="17.25" hidden="1" customHeight="1">
      <c r="A18" s="253"/>
      <c r="C18" s="128"/>
      <c r="D18" s="254">
        <v>2</v>
      </c>
      <c r="E18" s="281"/>
      <c r="F18" s="256" t="s">
        <v>19</v>
      </c>
      <c r="G18" s="255"/>
      <c r="H18" s="257"/>
      <c r="I18" s="258"/>
      <c r="J18" s="259"/>
      <c r="K18" s="260"/>
      <c r="L18" s="260"/>
      <c r="M18" s="260"/>
      <c r="N18" s="261"/>
      <c r="O18" s="260"/>
      <c r="P18" s="260"/>
      <c r="Q18" s="260"/>
      <c r="R18" s="262"/>
      <c r="S18" s="260"/>
      <c r="T18" s="260"/>
      <c r="U18" s="260"/>
      <c r="V18" s="262"/>
      <c r="W18" s="263"/>
      <c r="X18" s="264"/>
      <c r="Y18" s="264"/>
      <c r="Z18" s="264"/>
      <c r="AA18" s="264"/>
      <c r="AB18" s="264"/>
      <c r="AC18" s="264" t="s">
        <v>159</v>
      </c>
      <c r="AD18" s="264" t="s">
        <v>160</v>
      </c>
      <c r="AE18" s="264" t="s">
        <v>161</v>
      </c>
      <c r="AF18" s="264" t="s">
        <v>162</v>
      </c>
      <c r="AG18" s="264" t="s">
        <v>163</v>
      </c>
      <c r="AH18" s="264" t="str">
        <f>IF($E$18=0,"",$E$18)</f>
        <v/>
      </c>
      <c r="AI18" s="264" t="str">
        <f>IF($G$18=0,"",$G$18)</f>
        <v/>
      </c>
      <c r="AJ18" s="264" t="str">
        <f>IF($J$18=0,"",$J$18)</f>
        <v/>
      </c>
      <c r="AK18" s="264" t="str">
        <f>IF($K$18="нет","без дифференциации",IF($N$18=0,"",$N$18))</f>
        <v/>
      </c>
      <c r="AL18" s="264" t="str">
        <f>IF($O$18="нет","без дифференциации",IF($R$18=0,"",$R$18))</f>
        <v/>
      </c>
      <c r="AM18" s="264" t="str">
        <f>IF($S$18="нет","без дифференциации",IF($V$18=0,"",$V$18))</f>
        <v/>
      </c>
      <c r="AN18" s="282">
        <f>$I$18</f>
        <v>0</v>
      </c>
      <c r="AO18" s="264" t="str">
        <f>$I$18&amp;"."&amp;$M$18</f>
        <v>.</v>
      </c>
      <c r="AP18" s="106" t="str">
        <f>$I$18&amp;"."&amp;$M$18&amp;"."&amp;$Q$18</f>
        <v>..</v>
      </c>
      <c r="AQ18" s="106" t="str">
        <f>$I$18&amp;"."&amp;$M$18&amp;"."&amp;$Q$18&amp;"."&amp;$U$18</f>
        <v>...</v>
      </c>
      <c r="AR18" s="184">
        <v>0</v>
      </c>
    </row>
    <row r="19" s="184" customFormat="1" ht="17.25" hidden="1" customHeight="1">
      <c r="A19" s="253"/>
      <c r="C19" s="184"/>
      <c r="D19" s="254"/>
      <c r="E19" s="281"/>
      <c r="F19" s="265"/>
      <c r="G19" s="255"/>
      <c r="H19" s="266"/>
      <c r="I19" s="267"/>
      <c r="J19" s="268"/>
      <c r="K19" s="125"/>
      <c r="L19" s="125"/>
      <c r="M19" s="125"/>
      <c r="N19" s="269"/>
      <c r="O19" s="125"/>
      <c r="P19" s="125"/>
      <c r="Q19" s="125"/>
      <c r="R19" s="270"/>
      <c r="S19" s="125"/>
      <c r="T19" s="271"/>
      <c r="U19" s="271"/>
      <c r="V19" s="271"/>
      <c r="W19" s="272"/>
      <c r="X19" s="106"/>
      <c r="Y19" s="106"/>
      <c r="Z19" s="106"/>
      <c r="AA19" s="106"/>
      <c r="AB19" s="106"/>
      <c r="AC19" s="106"/>
      <c r="AD19" s="106"/>
      <c r="AE19" s="106"/>
      <c r="AF19" s="106"/>
      <c r="AG19" s="106"/>
      <c r="AH19" s="106"/>
      <c r="AI19" s="106"/>
      <c r="AJ19" s="106"/>
      <c r="AK19" s="106"/>
      <c r="AL19" s="106"/>
      <c r="AM19" s="106"/>
      <c r="AN19" s="106"/>
      <c r="AO19" s="106"/>
      <c r="AP19" s="106"/>
      <c r="AQ19" s="106"/>
      <c r="AR19" s="184">
        <v>0</v>
      </c>
    </row>
    <row r="20" s="184" customFormat="1" ht="17.25" hidden="1" customHeight="1">
      <c r="A20" s="253"/>
      <c r="C20" s="184"/>
      <c r="D20" s="274"/>
      <c r="E20" s="283"/>
      <c r="F20" s="265"/>
      <c r="G20" s="275"/>
      <c r="H20" s="266"/>
      <c r="I20" s="267"/>
      <c r="J20" s="273"/>
      <c r="K20" s="125"/>
      <c r="L20" s="125"/>
      <c r="M20" s="125"/>
      <c r="N20" s="270"/>
      <c r="O20" s="125"/>
      <c r="P20" s="125"/>
      <c r="Q20" s="271"/>
      <c r="R20" s="271"/>
      <c r="S20" s="184"/>
      <c r="T20" s="184"/>
      <c r="U20" s="184"/>
      <c r="V20" s="184"/>
      <c r="W20" s="272"/>
      <c r="X20" s="106"/>
      <c r="Y20" s="106"/>
      <c r="Z20" s="106"/>
      <c r="AA20" s="106"/>
      <c r="AB20" s="106"/>
      <c r="AC20" s="106"/>
      <c r="AD20" s="106"/>
      <c r="AE20" s="106"/>
      <c r="AF20" s="106"/>
      <c r="AG20" s="106"/>
      <c r="AH20" s="106"/>
      <c r="AI20" s="106"/>
      <c r="AJ20" s="106"/>
      <c r="AK20" s="106"/>
      <c r="AL20" s="106"/>
      <c r="AM20" s="106"/>
      <c r="AN20" s="106"/>
      <c r="AO20" s="106"/>
      <c r="AP20" s="106"/>
      <c r="AQ20" s="106"/>
      <c r="AR20" s="184">
        <v>0</v>
      </c>
    </row>
    <row r="21" s="184" customFormat="1" ht="17.25" hidden="1" customHeight="1">
      <c r="A21" s="253"/>
      <c r="C21" s="184"/>
      <c r="D21" s="274"/>
      <c r="E21" s="283"/>
      <c r="F21" s="265"/>
      <c r="G21" s="275"/>
      <c r="H21" s="266"/>
      <c r="I21" s="267"/>
      <c r="J21" s="273"/>
      <c r="K21" s="125"/>
      <c r="L21" s="271"/>
      <c r="M21" s="271"/>
      <c r="N21" s="271"/>
      <c r="O21" s="271"/>
      <c r="P21" s="271"/>
      <c r="Q21" s="271"/>
      <c r="R21" s="271"/>
      <c r="S21" s="184"/>
      <c r="T21" s="184"/>
      <c r="U21" s="184"/>
      <c r="V21" s="184"/>
      <c r="W21" s="272"/>
      <c r="X21" s="106"/>
      <c r="Y21" s="106"/>
      <c r="Z21" s="106"/>
      <c r="AA21" s="106"/>
      <c r="AB21" s="106"/>
      <c r="AC21" s="106"/>
      <c r="AD21" s="106"/>
      <c r="AE21" s="106"/>
      <c r="AF21" s="106"/>
      <c r="AG21" s="106"/>
      <c r="AH21" s="106"/>
      <c r="AI21" s="106"/>
      <c r="AJ21" s="106"/>
      <c r="AK21" s="106"/>
      <c r="AL21" s="106"/>
      <c r="AM21" s="106"/>
      <c r="AN21" s="106"/>
      <c r="AO21" s="106"/>
      <c r="AP21" s="106"/>
      <c r="AQ21" s="106"/>
      <c r="AR21" s="184">
        <v>0</v>
      </c>
    </row>
    <row r="22" s="184" customFormat="1" ht="17.25" hidden="1" customHeight="1">
      <c r="A22" s="253"/>
      <c r="C22" s="184"/>
      <c r="D22" s="274"/>
      <c r="E22" s="283"/>
      <c r="F22" s="276"/>
      <c r="G22" s="275"/>
      <c r="H22" s="277"/>
      <c r="I22" s="278"/>
      <c r="J22" s="278"/>
      <c r="K22" s="278"/>
      <c r="L22" s="278"/>
      <c r="M22" s="278"/>
      <c r="N22" s="278"/>
      <c r="O22" s="278"/>
      <c r="P22" s="278"/>
      <c r="Q22" s="278"/>
      <c r="R22" s="278"/>
      <c r="S22" s="279"/>
      <c r="T22" s="279"/>
      <c r="U22" s="279"/>
      <c r="V22" s="279"/>
      <c r="W22" s="280"/>
      <c r="X22" s="106"/>
      <c r="Y22" s="106"/>
      <c r="Z22" s="106"/>
      <c r="AA22" s="106"/>
      <c r="AB22" s="106"/>
      <c r="AC22" s="106"/>
      <c r="AD22" s="106"/>
      <c r="AE22" s="106"/>
      <c r="AF22" s="106"/>
      <c r="AG22" s="106"/>
      <c r="AH22" s="106"/>
      <c r="AI22" s="106"/>
      <c r="AJ22" s="106"/>
      <c r="AK22" s="106"/>
      <c r="AL22" s="106"/>
      <c r="AM22" s="106"/>
      <c r="AN22" s="106"/>
      <c r="AO22" s="106"/>
      <c r="AP22" s="106"/>
      <c r="AQ22" s="106"/>
      <c r="AR22" s="184">
        <v>0</v>
      </c>
    </row>
    <row r="23" s="184" customFormat="1" ht="17.25" hidden="1" customHeight="1">
      <c r="A23" s="253"/>
      <c r="C23" s="128"/>
      <c r="D23" s="254">
        <v>2</v>
      </c>
      <c r="E23" s="255" t="s">
        <v>164</v>
      </c>
      <c r="F23" s="256" t="s">
        <v>19</v>
      </c>
      <c r="G23" s="255"/>
      <c r="H23" s="257"/>
      <c r="I23" s="258"/>
      <c r="J23" s="259"/>
      <c r="K23" s="260"/>
      <c r="L23" s="260"/>
      <c r="M23" s="260"/>
      <c r="N23" s="261"/>
      <c r="O23" s="260"/>
      <c r="P23" s="260"/>
      <c r="Q23" s="260"/>
      <c r="R23" s="262"/>
      <c r="S23" s="260"/>
      <c r="T23" s="260"/>
      <c r="U23" s="260"/>
      <c r="V23" s="262"/>
      <c r="W23" s="263"/>
      <c r="X23" s="264"/>
      <c r="Y23" s="264"/>
      <c r="Z23" s="264"/>
      <c r="AA23" s="264"/>
      <c r="AB23" s="264"/>
      <c r="AC23" s="264" t="s">
        <v>159</v>
      </c>
      <c r="AD23" s="264" t="s">
        <v>160</v>
      </c>
      <c r="AE23" s="264" t="s">
        <v>161</v>
      </c>
      <c r="AF23" s="264" t="s">
        <v>162</v>
      </c>
      <c r="AG23" s="264" t="s">
        <v>163</v>
      </c>
      <c r="AH23" s="264"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264" t="str">
        <f>IF($G$23=0,"",$G$23)</f>
        <v/>
      </c>
      <c r="AJ23" s="264" t="str">
        <f>IF($J$23=0,"",$J$23)</f>
        <v/>
      </c>
      <c r="AK23" s="264" t="str">
        <f>IF($K$23="нет","без дифференциации",IF($N$23=0,"",$N$23))</f>
        <v/>
      </c>
      <c r="AL23" s="264" t="str">
        <f>IF($O$23="нет","без дифференциации",IF($R$23=0,"",$R$23))</f>
        <v/>
      </c>
      <c r="AM23" s="264" t="str">
        <f>IF($S$23="нет","без дифференциации",IF($V$23=0,"",$V$23))</f>
        <v/>
      </c>
      <c r="AN23" s="282">
        <f>$I$23</f>
        <v>0</v>
      </c>
      <c r="AO23" s="264" t="str">
        <f>$I$23&amp;"."&amp;$M$23</f>
        <v>.</v>
      </c>
      <c r="AP23" s="106" t="str">
        <f>$I$23&amp;"."&amp;$M$23&amp;"."&amp;$Q$23</f>
        <v>..</v>
      </c>
      <c r="AQ23" s="106" t="str">
        <f>$I$23&amp;"."&amp;$M$23&amp;"."&amp;$Q$23&amp;"."&amp;$U$23</f>
        <v>...</v>
      </c>
      <c r="AR23" s="184">
        <v>0</v>
      </c>
    </row>
    <row r="24" s="184" customFormat="1" ht="17.25" hidden="1" customHeight="1">
      <c r="A24" s="253"/>
      <c r="C24" s="184"/>
      <c r="D24" s="254"/>
      <c r="E24" s="255"/>
      <c r="F24" s="265"/>
      <c r="G24" s="255"/>
      <c r="H24" s="266"/>
      <c r="I24" s="267"/>
      <c r="J24" s="268"/>
      <c r="K24" s="125"/>
      <c r="L24" s="125"/>
      <c r="M24" s="125"/>
      <c r="N24" s="269"/>
      <c r="O24" s="125"/>
      <c r="P24" s="125"/>
      <c r="Q24" s="125"/>
      <c r="R24" s="270"/>
      <c r="S24" s="125"/>
      <c r="T24" s="271"/>
      <c r="U24" s="271"/>
      <c r="V24" s="271"/>
      <c r="W24" s="272"/>
      <c r="X24" s="106"/>
      <c r="Y24" s="106"/>
      <c r="Z24" s="106"/>
      <c r="AA24" s="106"/>
      <c r="AB24" s="106"/>
      <c r="AC24" s="106"/>
      <c r="AD24" s="106"/>
      <c r="AE24" s="106"/>
      <c r="AF24" s="106"/>
      <c r="AG24" s="106"/>
      <c r="AH24" s="106"/>
      <c r="AI24" s="106"/>
      <c r="AJ24" s="106"/>
      <c r="AK24" s="106"/>
      <c r="AL24" s="106"/>
      <c r="AM24" s="106"/>
      <c r="AN24" s="106"/>
      <c r="AO24" s="106"/>
      <c r="AP24" s="106"/>
      <c r="AQ24" s="106"/>
      <c r="AR24" s="184">
        <v>0</v>
      </c>
    </row>
    <row r="25" s="184" customFormat="1" ht="17.25" hidden="1" customHeight="1">
      <c r="A25" s="253"/>
      <c r="C25" s="184"/>
      <c r="D25" s="274"/>
      <c r="E25" s="275"/>
      <c r="F25" s="265"/>
      <c r="G25" s="275"/>
      <c r="H25" s="266"/>
      <c r="I25" s="267"/>
      <c r="J25" s="273"/>
      <c r="K25" s="125"/>
      <c r="L25" s="125"/>
      <c r="M25" s="125"/>
      <c r="N25" s="270"/>
      <c r="O25" s="125"/>
      <c r="P25" s="125"/>
      <c r="Q25" s="271"/>
      <c r="R25" s="271"/>
      <c r="S25" s="184"/>
      <c r="T25" s="184"/>
      <c r="U25" s="184"/>
      <c r="V25" s="184"/>
      <c r="W25" s="272"/>
      <c r="X25" s="106"/>
      <c r="Y25" s="106"/>
      <c r="Z25" s="106"/>
      <c r="AA25" s="106"/>
      <c r="AB25" s="106"/>
      <c r="AC25" s="106"/>
      <c r="AD25" s="106"/>
      <c r="AE25" s="106"/>
      <c r="AF25" s="106"/>
      <c r="AG25" s="106"/>
      <c r="AH25" s="106"/>
      <c r="AI25" s="106"/>
      <c r="AJ25" s="106"/>
      <c r="AK25" s="106"/>
      <c r="AL25" s="106"/>
      <c r="AM25" s="106"/>
      <c r="AN25" s="106"/>
      <c r="AO25" s="106"/>
      <c r="AP25" s="106"/>
      <c r="AQ25" s="106"/>
      <c r="AR25" s="184">
        <v>0</v>
      </c>
    </row>
    <row r="26" s="184" customFormat="1" ht="17.25" hidden="1" customHeight="1">
      <c r="A26" s="253"/>
      <c r="C26" s="184"/>
      <c r="D26" s="274"/>
      <c r="E26" s="275"/>
      <c r="F26" s="265"/>
      <c r="G26" s="275"/>
      <c r="H26" s="266"/>
      <c r="I26" s="267"/>
      <c r="J26" s="273"/>
      <c r="K26" s="125"/>
      <c r="L26" s="271"/>
      <c r="M26" s="271"/>
      <c r="N26" s="271"/>
      <c r="O26" s="271"/>
      <c r="P26" s="271"/>
      <c r="Q26" s="271"/>
      <c r="R26" s="271"/>
      <c r="S26" s="184"/>
      <c r="T26" s="184"/>
      <c r="U26" s="184"/>
      <c r="V26" s="184"/>
      <c r="W26" s="272"/>
      <c r="X26" s="106"/>
      <c r="Y26" s="106"/>
      <c r="Z26" s="106"/>
      <c r="AA26" s="106"/>
      <c r="AB26" s="106"/>
      <c r="AC26" s="106"/>
      <c r="AD26" s="106"/>
      <c r="AE26" s="106"/>
      <c r="AF26" s="106"/>
      <c r="AG26" s="106"/>
      <c r="AH26" s="106"/>
      <c r="AI26" s="106"/>
      <c r="AJ26" s="106"/>
      <c r="AK26" s="106"/>
      <c r="AL26" s="106"/>
      <c r="AM26" s="106"/>
      <c r="AN26" s="106"/>
      <c r="AO26" s="106"/>
      <c r="AP26" s="106"/>
      <c r="AQ26" s="106"/>
      <c r="AR26" s="184">
        <v>0</v>
      </c>
    </row>
    <row r="27" s="184" customFormat="1" ht="17.25" hidden="1" customHeight="1">
      <c r="A27" s="253"/>
      <c r="C27" s="184"/>
      <c r="D27" s="274"/>
      <c r="E27" s="275"/>
      <c r="F27" s="276"/>
      <c r="G27" s="275"/>
      <c r="H27" s="277"/>
      <c r="I27" s="278"/>
      <c r="J27" s="278"/>
      <c r="K27" s="278"/>
      <c r="L27" s="278"/>
      <c r="M27" s="278"/>
      <c r="N27" s="278"/>
      <c r="O27" s="278"/>
      <c r="P27" s="278"/>
      <c r="Q27" s="278"/>
      <c r="R27" s="278"/>
      <c r="S27" s="279"/>
      <c r="T27" s="279"/>
      <c r="U27" s="279"/>
      <c r="V27" s="279"/>
      <c r="W27" s="280"/>
      <c r="X27" s="106"/>
      <c r="Y27" s="106"/>
      <c r="Z27" s="106"/>
      <c r="AA27" s="106"/>
      <c r="AB27" s="106"/>
      <c r="AC27" s="106"/>
      <c r="AD27" s="106"/>
      <c r="AE27" s="106"/>
      <c r="AF27" s="106"/>
      <c r="AG27" s="106"/>
      <c r="AH27" s="106"/>
      <c r="AI27" s="106"/>
      <c r="AJ27" s="106"/>
      <c r="AK27" s="106"/>
      <c r="AL27" s="106"/>
      <c r="AM27" s="106"/>
      <c r="AN27" s="106"/>
      <c r="AO27" s="106"/>
      <c r="AP27" s="106"/>
      <c r="AQ27" s="106"/>
      <c r="AR27" s="184">
        <v>0</v>
      </c>
    </row>
    <row r="28" s="184" customFormat="1" ht="17.25" hidden="1" customHeight="1">
      <c r="A28" s="253"/>
      <c r="C28" s="128"/>
      <c r="D28" s="254">
        <v>3</v>
      </c>
      <c r="E28" s="255" t="s">
        <v>165</v>
      </c>
      <c r="F28" s="256" t="s">
        <v>19</v>
      </c>
      <c r="G28" s="255"/>
      <c r="H28" s="257"/>
      <c r="I28" s="258"/>
      <c r="J28" s="259"/>
      <c r="K28" s="260"/>
      <c r="L28" s="260"/>
      <c r="M28" s="260"/>
      <c r="N28" s="261"/>
      <c r="O28" s="260"/>
      <c r="P28" s="260"/>
      <c r="Q28" s="260"/>
      <c r="R28" s="262"/>
      <c r="S28" s="260"/>
      <c r="T28" s="260"/>
      <c r="U28" s="260"/>
      <c r="V28" s="262"/>
      <c r="W28" s="263"/>
      <c r="X28" s="264"/>
      <c r="Y28" s="264"/>
      <c r="Z28" s="264"/>
      <c r="AA28" s="264"/>
      <c r="AB28" s="264"/>
      <c r="AC28" s="264" t="s">
        <v>166</v>
      </c>
      <c r="AD28" s="264" t="s">
        <v>167</v>
      </c>
      <c r="AE28" s="264" t="s">
        <v>168</v>
      </c>
      <c r="AF28" s="264" t="s">
        <v>169</v>
      </c>
      <c r="AG28" s="264" t="s">
        <v>170</v>
      </c>
      <c r="AH28" s="264" t="str">
        <f>IF($E$28=0,"",$E$28)</f>
        <v xml:space="preserve">Тарифы на теплоноситель, поставляемый теплоснабжающими организациями потребителям, другим теплоснабжающим организациям</v>
      </c>
      <c r="AI28" s="264" t="str">
        <f>IF($G$28=0,"",$G$28)</f>
        <v/>
      </c>
      <c r="AJ28" s="264" t="str">
        <f>IF($J$28=0,"",$J$28)</f>
        <v/>
      </c>
      <c r="AK28" s="264" t="str">
        <f>IF($K$28="нет","без дифференциации",IF($N$28=0,"",$N$28))</f>
        <v/>
      </c>
      <c r="AL28" s="264" t="str">
        <f>IF($O$28="нет","без дифференциации",IF($R$28=0,"",$R$28))</f>
        <v/>
      </c>
      <c r="AM28" s="264" t="str">
        <f>IF($S$28="нет","без дифференциации",IF($V$28=0,"",$V$28))</f>
        <v/>
      </c>
      <c r="AN28" s="282">
        <f>$I$28</f>
        <v>0</v>
      </c>
      <c r="AO28" s="264" t="str">
        <f>$I$28&amp;"."&amp;$M$28</f>
        <v>.</v>
      </c>
      <c r="AP28" s="106" t="str">
        <f>$I$28&amp;"."&amp;$M$28&amp;"."&amp;$Q$28</f>
        <v>..</v>
      </c>
      <c r="AQ28" s="106" t="str">
        <f>$I$28&amp;"."&amp;$M$28&amp;"."&amp;$Q$28&amp;"."&amp;$U$28</f>
        <v>...</v>
      </c>
      <c r="AR28" s="184">
        <v>0</v>
      </c>
    </row>
    <row r="29" s="184" customFormat="1" ht="17.25" hidden="1" customHeight="1">
      <c r="A29" s="253"/>
      <c r="C29" s="184"/>
      <c r="D29" s="254"/>
      <c r="E29" s="255"/>
      <c r="F29" s="265"/>
      <c r="G29" s="255"/>
      <c r="H29" s="266"/>
      <c r="I29" s="267"/>
      <c r="J29" s="268"/>
      <c r="K29" s="125"/>
      <c r="L29" s="125"/>
      <c r="M29" s="125"/>
      <c r="N29" s="269"/>
      <c r="O29" s="125"/>
      <c r="P29" s="125"/>
      <c r="Q29" s="125"/>
      <c r="R29" s="270"/>
      <c r="S29" s="125"/>
      <c r="T29" s="271"/>
      <c r="U29" s="271"/>
      <c r="V29" s="271"/>
      <c r="W29" s="272"/>
      <c r="X29" s="106"/>
      <c r="Y29" s="106"/>
      <c r="Z29" s="106"/>
      <c r="AA29" s="106"/>
      <c r="AB29" s="106"/>
      <c r="AC29" s="106"/>
      <c r="AD29" s="106"/>
      <c r="AE29" s="106"/>
      <c r="AF29" s="106"/>
      <c r="AG29" s="106"/>
      <c r="AH29" s="106"/>
      <c r="AI29" s="106"/>
      <c r="AJ29" s="106"/>
      <c r="AK29" s="106"/>
      <c r="AL29" s="106"/>
      <c r="AM29" s="106"/>
      <c r="AN29" s="106"/>
      <c r="AO29" s="106"/>
      <c r="AP29" s="106"/>
      <c r="AQ29" s="106"/>
      <c r="AR29" s="184">
        <v>0</v>
      </c>
    </row>
    <row r="30" s="184" customFormat="1" ht="17.25" hidden="1" customHeight="1">
      <c r="A30" s="253"/>
      <c r="C30" s="184"/>
      <c r="D30" s="274"/>
      <c r="E30" s="275"/>
      <c r="F30" s="265"/>
      <c r="G30" s="275"/>
      <c r="H30" s="266"/>
      <c r="I30" s="267"/>
      <c r="J30" s="273"/>
      <c r="K30" s="125"/>
      <c r="L30" s="125"/>
      <c r="M30" s="125"/>
      <c r="N30" s="270"/>
      <c r="O30" s="125"/>
      <c r="P30" s="125"/>
      <c r="Q30" s="271"/>
      <c r="R30" s="271"/>
      <c r="S30" s="184"/>
      <c r="T30" s="184"/>
      <c r="U30" s="184"/>
      <c r="V30" s="184"/>
      <c r="W30" s="272"/>
      <c r="X30" s="106"/>
      <c r="Y30" s="106"/>
      <c r="Z30" s="106"/>
      <c r="AA30" s="106"/>
      <c r="AB30" s="106"/>
      <c r="AC30" s="106"/>
      <c r="AD30" s="106"/>
      <c r="AE30" s="106"/>
      <c r="AF30" s="106"/>
      <c r="AG30" s="106"/>
      <c r="AH30" s="106"/>
      <c r="AI30" s="106"/>
      <c r="AJ30" s="106"/>
      <c r="AK30" s="106"/>
      <c r="AL30" s="106"/>
      <c r="AM30" s="106"/>
      <c r="AN30" s="106"/>
      <c r="AO30" s="106"/>
      <c r="AP30" s="106"/>
      <c r="AQ30" s="106"/>
      <c r="AR30" s="184">
        <v>0</v>
      </c>
    </row>
    <row r="31" s="184" customFormat="1" ht="17.25" hidden="1" customHeight="1">
      <c r="A31" s="253"/>
      <c r="C31" s="184"/>
      <c r="D31" s="274"/>
      <c r="E31" s="275"/>
      <c r="F31" s="265"/>
      <c r="G31" s="275"/>
      <c r="H31" s="266"/>
      <c r="I31" s="267"/>
      <c r="J31" s="273"/>
      <c r="K31" s="125"/>
      <c r="L31" s="271"/>
      <c r="M31" s="271"/>
      <c r="N31" s="271"/>
      <c r="O31" s="271"/>
      <c r="P31" s="271"/>
      <c r="Q31" s="271"/>
      <c r="R31" s="271"/>
      <c r="S31" s="184"/>
      <c r="T31" s="184"/>
      <c r="U31" s="184"/>
      <c r="V31" s="184"/>
      <c r="W31" s="272"/>
      <c r="X31" s="106"/>
      <c r="Y31" s="106"/>
      <c r="Z31" s="106"/>
      <c r="AA31" s="106"/>
      <c r="AB31" s="106"/>
      <c r="AC31" s="106"/>
      <c r="AD31" s="106"/>
      <c r="AE31" s="106"/>
      <c r="AF31" s="106"/>
      <c r="AG31" s="106"/>
      <c r="AH31" s="106"/>
      <c r="AI31" s="106"/>
      <c r="AJ31" s="106"/>
      <c r="AK31" s="106"/>
      <c r="AL31" s="106"/>
      <c r="AM31" s="106"/>
      <c r="AN31" s="106"/>
      <c r="AO31" s="106"/>
      <c r="AP31" s="106"/>
      <c r="AQ31" s="106"/>
      <c r="AR31" s="184">
        <v>0</v>
      </c>
    </row>
    <row r="32" s="184" customFormat="1" ht="17.25" hidden="1" customHeight="1">
      <c r="A32" s="253"/>
      <c r="C32" s="184"/>
      <c r="D32" s="274"/>
      <c r="E32" s="275"/>
      <c r="F32" s="276"/>
      <c r="G32" s="275"/>
      <c r="H32" s="277"/>
      <c r="I32" s="278"/>
      <c r="J32" s="278"/>
      <c r="K32" s="278"/>
      <c r="L32" s="278"/>
      <c r="M32" s="278"/>
      <c r="N32" s="278"/>
      <c r="O32" s="278"/>
      <c r="P32" s="278"/>
      <c r="Q32" s="278"/>
      <c r="R32" s="278"/>
      <c r="S32" s="279"/>
      <c r="T32" s="279"/>
      <c r="U32" s="279"/>
      <c r="V32" s="279"/>
      <c r="W32" s="280"/>
      <c r="X32" s="106"/>
      <c r="Y32" s="106"/>
      <c r="Z32" s="106"/>
      <c r="AA32" s="106"/>
      <c r="AB32" s="106"/>
      <c r="AC32" s="106"/>
      <c r="AD32" s="106"/>
      <c r="AE32" s="106"/>
      <c r="AF32" s="106"/>
      <c r="AG32" s="106"/>
      <c r="AH32" s="106"/>
      <c r="AI32" s="106"/>
      <c r="AJ32" s="106"/>
      <c r="AK32" s="106"/>
      <c r="AL32" s="106"/>
      <c r="AM32" s="106"/>
      <c r="AN32" s="106"/>
      <c r="AO32" s="106"/>
      <c r="AP32" s="106"/>
      <c r="AQ32" s="106"/>
      <c r="AR32" s="184">
        <v>0</v>
      </c>
    </row>
    <row r="33" s="184" customFormat="1" ht="17.25" hidden="1" customHeight="1">
      <c r="A33" s="253"/>
      <c r="C33" s="128"/>
      <c r="D33" s="254">
        <v>4</v>
      </c>
      <c r="E33" s="255" t="s">
        <v>171</v>
      </c>
      <c r="F33" s="256" t="s">
        <v>19</v>
      </c>
      <c r="G33" s="255"/>
      <c r="H33" s="257"/>
      <c r="I33" s="258"/>
      <c r="J33" s="259"/>
      <c r="K33" s="260"/>
      <c r="L33" s="260"/>
      <c r="M33" s="260"/>
      <c r="N33" s="261"/>
      <c r="O33" s="260"/>
      <c r="P33" s="260"/>
      <c r="Q33" s="260"/>
      <c r="R33" s="262"/>
      <c r="S33" s="260"/>
      <c r="T33" s="260"/>
      <c r="U33" s="260"/>
      <c r="V33" s="262"/>
      <c r="W33" s="263"/>
      <c r="X33" s="264"/>
      <c r="Y33" s="264"/>
      <c r="Z33" s="264"/>
      <c r="AA33" s="264"/>
      <c r="AB33" s="264"/>
      <c r="AC33" s="264" t="s">
        <v>172</v>
      </c>
      <c r="AD33" s="264" t="s">
        <v>173</v>
      </c>
      <c r="AE33" s="264" t="s">
        <v>174</v>
      </c>
      <c r="AF33" s="264" t="s">
        <v>175</v>
      </c>
      <c r="AG33" s="264" t="s">
        <v>176</v>
      </c>
      <c r="AH33" s="264"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4" t="str">
        <f>IF($G$33=0,"",$G$33)</f>
        <v/>
      </c>
      <c r="AJ33" s="264" t="str">
        <f>IF($J$33=0,"",$J$33)</f>
        <v/>
      </c>
      <c r="AK33" s="264" t="str">
        <f>IF($K$33="нет","без дифференциации",IF($N$33=0,"",$N$33))</f>
        <v/>
      </c>
      <c r="AL33" s="264" t="str">
        <f>IF($O$33="нет","без дифференциации",IF($R$33=0,"",$R$33))</f>
        <v/>
      </c>
      <c r="AM33" s="264" t="str">
        <f>IF($S$33="нет","без дифференциации",IF($V$33=0,"",$V$33))</f>
        <v/>
      </c>
      <c r="AN33" s="282">
        <f>$I$33</f>
        <v>0</v>
      </c>
      <c r="AO33" s="264" t="str">
        <f>$I$33&amp;"."&amp;$M$33</f>
        <v>.</v>
      </c>
      <c r="AP33" s="106" t="str">
        <f>$I$33&amp;"."&amp;$M$33&amp;"."&amp;$Q$33</f>
        <v>..</v>
      </c>
      <c r="AQ33" s="106" t="str">
        <f>$I$33&amp;"."&amp;$M$33&amp;"."&amp;$Q$33&amp;"."&amp;$U$33</f>
        <v>...</v>
      </c>
      <c r="AR33" s="184">
        <v>0</v>
      </c>
    </row>
    <row r="34" s="184" customFormat="1" ht="17.25" hidden="1" customHeight="1">
      <c r="A34" s="253"/>
      <c r="C34" s="184"/>
      <c r="D34" s="254"/>
      <c r="E34" s="255"/>
      <c r="F34" s="265"/>
      <c r="G34" s="255"/>
      <c r="H34" s="266"/>
      <c r="I34" s="267"/>
      <c r="J34" s="268"/>
      <c r="K34" s="125"/>
      <c r="L34" s="125"/>
      <c r="M34" s="125"/>
      <c r="N34" s="269"/>
      <c r="O34" s="125"/>
      <c r="P34" s="125"/>
      <c r="Q34" s="125"/>
      <c r="R34" s="270"/>
      <c r="S34" s="125"/>
      <c r="T34" s="271"/>
      <c r="U34" s="271"/>
      <c r="V34" s="271"/>
      <c r="W34" s="272"/>
      <c r="X34" s="106"/>
      <c r="Y34" s="106"/>
      <c r="Z34" s="106"/>
      <c r="AA34" s="106"/>
      <c r="AB34" s="106"/>
      <c r="AC34" s="106"/>
      <c r="AD34" s="106"/>
      <c r="AE34" s="106"/>
      <c r="AF34" s="106"/>
      <c r="AG34" s="106"/>
      <c r="AH34" s="106"/>
      <c r="AI34" s="106"/>
      <c r="AJ34" s="106"/>
      <c r="AK34" s="106"/>
      <c r="AL34" s="106"/>
      <c r="AM34" s="106"/>
      <c r="AN34" s="106"/>
      <c r="AO34" s="106"/>
      <c r="AP34" s="106"/>
      <c r="AQ34" s="106"/>
      <c r="AR34" s="184">
        <v>0</v>
      </c>
    </row>
    <row r="35" s="184" customFormat="1" ht="17.25" hidden="1" customHeight="1">
      <c r="A35" s="253"/>
      <c r="C35" s="184"/>
      <c r="D35" s="274"/>
      <c r="E35" s="275"/>
      <c r="F35" s="265"/>
      <c r="G35" s="275"/>
      <c r="H35" s="266"/>
      <c r="I35" s="267"/>
      <c r="J35" s="273"/>
      <c r="K35" s="125"/>
      <c r="L35" s="125"/>
      <c r="M35" s="125"/>
      <c r="N35" s="270"/>
      <c r="O35" s="125"/>
      <c r="P35" s="125"/>
      <c r="Q35" s="271"/>
      <c r="R35" s="271"/>
      <c r="S35" s="184"/>
      <c r="T35" s="184"/>
      <c r="U35" s="184"/>
      <c r="V35" s="184"/>
      <c r="W35" s="272"/>
      <c r="X35" s="106"/>
      <c r="Y35" s="106"/>
      <c r="Z35" s="106"/>
      <c r="AA35" s="106"/>
      <c r="AB35" s="106"/>
      <c r="AC35" s="106"/>
      <c r="AD35" s="106"/>
      <c r="AE35" s="106"/>
      <c r="AF35" s="106"/>
      <c r="AG35" s="106"/>
      <c r="AH35" s="106"/>
      <c r="AI35" s="106"/>
      <c r="AJ35" s="106"/>
      <c r="AK35" s="106"/>
      <c r="AL35" s="106"/>
      <c r="AM35" s="106"/>
      <c r="AN35" s="106"/>
      <c r="AO35" s="106"/>
      <c r="AP35" s="106"/>
      <c r="AQ35" s="106"/>
      <c r="AR35" s="184">
        <v>0</v>
      </c>
    </row>
    <row r="36" s="184" customFormat="1" ht="17.25" hidden="1" customHeight="1">
      <c r="A36" s="253"/>
      <c r="C36" s="184"/>
      <c r="D36" s="274"/>
      <c r="E36" s="275"/>
      <c r="F36" s="265"/>
      <c r="G36" s="275"/>
      <c r="H36" s="266"/>
      <c r="I36" s="267"/>
      <c r="J36" s="273"/>
      <c r="K36" s="125"/>
      <c r="L36" s="271"/>
      <c r="M36" s="271"/>
      <c r="N36" s="271"/>
      <c r="O36" s="271"/>
      <c r="P36" s="271"/>
      <c r="Q36" s="271"/>
      <c r="R36" s="271"/>
      <c r="S36" s="184"/>
      <c r="T36" s="184"/>
      <c r="U36" s="184"/>
      <c r="V36" s="184"/>
      <c r="W36" s="272"/>
      <c r="X36" s="106"/>
      <c r="Y36" s="106"/>
      <c r="Z36" s="106"/>
      <c r="AA36" s="106"/>
      <c r="AB36" s="106"/>
      <c r="AC36" s="106"/>
      <c r="AD36" s="106"/>
      <c r="AE36" s="106"/>
      <c r="AF36" s="106"/>
      <c r="AG36" s="106"/>
      <c r="AH36" s="106"/>
      <c r="AI36" s="106"/>
      <c r="AJ36" s="106"/>
      <c r="AK36" s="106"/>
      <c r="AL36" s="106"/>
      <c r="AM36" s="106"/>
      <c r="AN36" s="106"/>
      <c r="AO36" s="106"/>
      <c r="AP36" s="106"/>
      <c r="AQ36" s="106"/>
      <c r="AR36" s="184">
        <v>0</v>
      </c>
    </row>
    <row r="37" s="184" customFormat="1" ht="17.25" hidden="1" customHeight="1">
      <c r="A37" s="253"/>
      <c r="C37" s="184"/>
      <c r="D37" s="274"/>
      <c r="E37" s="275"/>
      <c r="F37" s="276"/>
      <c r="G37" s="275"/>
      <c r="H37" s="277"/>
      <c r="I37" s="278"/>
      <c r="J37" s="278"/>
      <c r="K37" s="278"/>
      <c r="L37" s="278"/>
      <c r="M37" s="278"/>
      <c r="N37" s="278"/>
      <c r="O37" s="278"/>
      <c r="P37" s="278"/>
      <c r="Q37" s="278"/>
      <c r="R37" s="278"/>
      <c r="S37" s="279"/>
      <c r="T37" s="279"/>
      <c r="U37" s="279"/>
      <c r="V37" s="279"/>
      <c r="W37" s="280"/>
      <c r="X37" s="106"/>
      <c r="Y37" s="106"/>
      <c r="Z37" s="106"/>
      <c r="AA37" s="106"/>
      <c r="AB37" s="106"/>
      <c r="AC37" s="106"/>
      <c r="AD37" s="106"/>
      <c r="AE37" s="106"/>
      <c r="AF37" s="106"/>
      <c r="AG37" s="106"/>
      <c r="AH37" s="106"/>
      <c r="AI37" s="106"/>
      <c r="AJ37" s="106"/>
      <c r="AK37" s="106"/>
      <c r="AL37" s="106"/>
      <c r="AM37" s="106"/>
      <c r="AN37" s="106"/>
      <c r="AO37" s="106"/>
      <c r="AP37" s="106"/>
      <c r="AQ37" s="106"/>
      <c r="AR37" s="184">
        <v>0</v>
      </c>
    </row>
    <row r="38" s="184" customFormat="1" ht="17.25" hidden="1" customHeight="1">
      <c r="A38" s="253"/>
      <c r="C38" s="128"/>
      <c r="D38" s="254">
        <v>5</v>
      </c>
      <c r="E38" s="255" t="s">
        <v>177</v>
      </c>
      <c r="F38" s="256" t="s">
        <v>19</v>
      </c>
      <c r="G38" s="255"/>
      <c r="H38" s="257"/>
      <c r="I38" s="258"/>
      <c r="J38" s="259"/>
      <c r="K38" s="260"/>
      <c r="L38" s="260"/>
      <c r="M38" s="260"/>
      <c r="N38" s="261"/>
      <c r="O38" s="260"/>
      <c r="P38" s="260"/>
      <c r="Q38" s="260"/>
      <c r="R38" s="262"/>
      <c r="S38" s="260"/>
      <c r="T38" s="260"/>
      <c r="U38" s="260"/>
      <c r="V38" s="262"/>
      <c r="W38" s="263"/>
      <c r="X38" s="264"/>
      <c r="Y38" s="264"/>
      <c r="Z38" s="264"/>
      <c r="AA38" s="264"/>
      <c r="AB38" s="264"/>
      <c r="AC38" s="264" t="s">
        <v>178</v>
      </c>
      <c r="AD38" s="264" t="s">
        <v>179</v>
      </c>
      <c r="AE38" s="264" t="s">
        <v>180</v>
      </c>
      <c r="AF38" s="264" t="s">
        <v>181</v>
      </c>
      <c r="AG38" s="264" t="s">
        <v>182</v>
      </c>
      <c r="AH38" s="264" t="str">
        <f>IF($E$38=0,"",$E$38)</f>
        <v xml:space="preserve">Тарифы на услуги по передаче тепловой энергии</v>
      </c>
      <c r="AI38" s="264" t="str">
        <f>IF($G$38=0,"",$G$38)</f>
        <v/>
      </c>
      <c r="AJ38" s="264" t="str">
        <f>IF($J$38=0,"",$J$38)</f>
        <v/>
      </c>
      <c r="AK38" s="264" t="str">
        <f>IF($K$38="нет","без дифференциации",IF($N$38=0,"",$N$38))</f>
        <v/>
      </c>
      <c r="AL38" s="264" t="str">
        <f>IF($O$38="нет","без дифференциации",IF($R$38=0,"",$R$38))</f>
        <v/>
      </c>
      <c r="AM38" s="264" t="str">
        <f>IF($S$38="нет","без дифференциации",IF($V$38=0,"",$V$38))</f>
        <v/>
      </c>
      <c r="AN38" s="282">
        <f>$I$38</f>
        <v>0</v>
      </c>
      <c r="AO38" s="264" t="str">
        <f>$I$38&amp;"."&amp;$M$38</f>
        <v>.</v>
      </c>
      <c r="AP38" s="106" t="str">
        <f>$I$38&amp;"."&amp;$M$38&amp;"."&amp;$Q$38</f>
        <v>..</v>
      </c>
      <c r="AQ38" s="106" t="str">
        <f>$I$38&amp;"."&amp;$M$38&amp;"."&amp;$Q$38&amp;"."&amp;$U$38</f>
        <v>...</v>
      </c>
      <c r="AR38" s="184">
        <v>0</v>
      </c>
    </row>
    <row r="39" s="184" customFormat="1" ht="17.25" hidden="1" customHeight="1">
      <c r="A39" s="253"/>
      <c r="C39" s="184"/>
      <c r="D39" s="254"/>
      <c r="E39" s="255"/>
      <c r="F39" s="265"/>
      <c r="G39" s="255"/>
      <c r="H39" s="266"/>
      <c r="I39" s="267"/>
      <c r="J39" s="268"/>
      <c r="K39" s="125"/>
      <c r="L39" s="125"/>
      <c r="M39" s="125"/>
      <c r="N39" s="269"/>
      <c r="O39" s="125"/>
      <c r="P39" s="125"/>
      <c r="Q39" s="125"/>
      <c r="R39" s="270"/>
      <c r="S39" s="125"/>
      <c r="T39" s="271"/>
      <c r="U39" s="271"/>
      <c r="V39" s="271"/>
      <c r="W39" s="272"/>
      <c r="X39" s="106"/>
      <c r="Y39" s="106"/>
      <c r="Z39" s="106"/>
      <c r="AA39" s="106"/>
      <c r="AB39" s="106"/>
      <c r="AC39" s="106"/>
      <c r="AD39" s="106"/>
      <c r="AE39" s="106"/>
      <c r="AF39" s="106"/>
      <c r="AG39" s="106"/>
      <c r="AH39" s="106"/>
      <c r="AI39" s="106"/>
      <c r="AJ39" s="106"/>
      <c r="AK39" s="106"/>
      <c r="AL39" s="106"/>
      <c r="AM39" s="106"/>
      <c r="AN39" s="106"/>
      <c r="AO39" s="106"/>
      <c r="AP39" s="106"/>
      <c r="AQ39" s="106"/>
      <c r="AR39" s="184">
        <v>0</v>
      </c>
    </row>
    <row r="40" s="184" customFormat="1" ht="17.25" hidden="1" customHeight="1">
      <c r="A40" s="253"/>
      <c r="C40" s="184"/>
      <c r="D40" s="274"/>
      <c r="E40" s="275"/>
      <c r="F40" s="265"/>
      <c r="G40" s="275"/>
      <c r="H40" s="266"/>
      <c r="I40" s="267"/>
      <c r="J40" s="273"/>
      <c r="K40" s="125"/>
      <c r="L40" s="125"/>
      <c r="M40" s="125"/>
      <c r="N40" s="270"/>
      <c r="O40" s="125"/>
      <c r="P40" s="125"/>
      <c r="Q40" s="271"/>
      <c r="R40" s="271"/>
      <c r="S40" s="184"/>
      <c r="T40" s="184"/>
      <c r="U40" s="184"/>
      <c r="V40" s="184"/>
      <c r="W40" s="272"/>
      <c r="X40" s="106"/>
      <c r="Y40" s="106"/>
      <c r="Z40" s="106"/>
      <c r="AA40" s="106"/>
      <c r="AB40" s="106"/>
      <c r="AC40" s="106"/>
      <c r="AD40" s="106"/>
      <c r="AE40" s="106"/>
      <c r="AF40" s="106"/>
      <c r="AG40" s="106"/>
      <c r="AH40" s="106"/>
      <c r="AI40" s="106"/>
      <c r="AJ40" s="106"/>
      <c r="AK40" s="106"/>
      <c r="AL40" s="106"/>
      <c r="AM40" s="106"/>
      <c r="AN40" s="106"/>
      <c r="AO40" s="106"/>
      <c r="AP40" s="106"/>
      <c r="AQ40" s="106"/>
      <c r="AR40" s="184">
        <v>0</v>
      </c>
    </row>
    <row r="41" s="184" customFormat="1" ht="17.25" hidden="1" customHeight="1">
      <c r="A41" s="253"/>
      <c r="C41" s="184"/>
      <c r="D41" s="274"/>
      <c r="E41" s="275"/>
      <c r="F41" s="265"/>
      <c r="G41" s="275"/>
      <c r="H41" s="266"/>
      <c r="I41" s="267"/>
      <c r="J41" s="273"/>
      <c r="K41" s="125"/>
      <c r="L41" s="271"/>
      <c r="M41" s="271"/>
      <c r="N41" s="271"/>
      <c r="O41" s="271"/>
      <c r="P41" s="271"/>
      <c r="Q41" s="271"/>
      <c r="R41" s="271"/>
      <c r="S41" s="184"/>
      <c r="T41" s="184"/>
      <c r="U41" s="184"/>
      <c r="V41" s="184"/>
      <c r="W41" s="272"/>
      <c r="X41" s="106"/>
      <c r="Y41" s="106"/>
      <c r="Z41" s="106"/>
      <c r="AA41" s="106"/>
      <c r="AB41" s="106"/>
      <c r="AC41" s="106"/>
      <c r="AD41" s="106"/>
      <c r="AE41" s="106"/>
      <c r="AF41" s="106"/>
      <c r="AG41" s="106"/>
      <c r="AH41" s="106"/>
      <c r="AI41" s="106"/>
      <c r="AJ41" s="106"/>
      <c r="AK41" s="106"/>
      <c r="AL41" s="106"/>
      <c r="AM41" s="106"/>
      <c r="AN41" s="106"/>
      <c r="AO41" s="106"/>
      <c r="AP41" s="106"/>
      <c r="AQ41" s="106"/>
      <c r="AR41" s="184">
        <v>0</v>
      </c>
    </row>
    <row r="42" s="184" customFormat="1" ht="17.25" hidden="1" customHeight="1">
      <c r="A42" s="253"/>
      <c r="C42" s="184"/>
      <c r="D42" s="274"/>
      <c r="E42" s="275"/>
      <c r="F42" s="276"/>
      <c r="G42" s="275"/>
      <c r="H42" s="277"/>
      <c r="I42" s="278"/>
      <c r="J42" s="278"/>
      <c r="K42" s="278"/>
      <c r="L42" s="278"/>
      <c r="M42" s="278"/>
      <c r="N42" s="278"/>
      <c r="O42" s="278"/>
      <c r="P42" s="278"/>
      <c r="Q42" s="278"/>
      <c r="R42" s="278"/>
      <c r="S42" s="279"/>
      <c r="T42" s="279"/>
      <c r="U42" s="279"/>
      <c r="V42" s="279"/>
      <c r="W42" s="280"/>
      <c r="X42" s="106"/>
      <c r="Y42" s="106"/>
      <c r="Z42" s="106"/>
      <c r="AA42" s="106"/>
      <c r="AB42" s="106"/>
      <c r="AC42" s="106"/>
      <c r="AD42" s="106"/>
      <c r="AE42" s="106"/>
      <c r="AF42" s="106"/>
      <c r="AG42" s="106"/>
      <c r="AH42" s="106"/>
      <c r="AI42" s="106"/>
      <c r="AJ42" s="106"/>
      <c r="AK42" s="106"/>
      <c r="AL42" s="106"/>
      <c r="AM42" s="106"/>
      <c r="AN42" s="106"/>
      <c r="AO42" s="106"/>
      <c r="AP42" s="106"/>
      <c r="AQ42" s="106"/>
      <c r="AR42" s="184">
        <v>0</v>
      </c>
    </row>
    <row r="43" s="184" customFormat="1" ht="17.25" hidden="1" customHeight="1">
      <c r="A43" s="253"/>
      <c r="C43" s="128"/>
      <c r="D43" s="254">
        <v>6</v>
      </c>
      <c r="E43" s="255" t="s">
        <v>183</v>
      </c>
      <c r="F43" s="256" t="s">
        <v>19</v>
      </c>
      <c r="G43" s="255"/>
      <c r="H43" s="257"/>
      <c r="I43" s="258"/>
      <c r="J43" s="259"/>
      <c r="K43" s="260"/>
      <c r="L43" s="260"/>
      <c r="M43" s="260"/>
      <c r="N43" s="261"/>
      <c r="O43" s="260"/>
      <c r="P43" s="260"/>
      <c r="Q43" s="260"/>
      <c r="R43" s="262"/>
      <c r="S43" s="260"/>
      <c r="T43" s="260"/>
      <c r="U43" s="260"/>
      <c r="V43" s="262"/>
      <c r="W43" s="263"/>
      <c r="X43" s="264"/>
      <c r="Y43" s="264"/>
      <c r="Z43" s="264"/>
      <c r="AA43" s="264"/>
      <c r="AB43" s="264"/>
      <c r="AC43" s="264" t="s">
        <v>184</v>
      </c>
      <c r="AD43" s="264" t="s">
        <v>185</v>
      </c>
      <c r="AE43" s="264" t="s">
        <v>186</v>
      </c>
      <c r="AF43" s="264" t="s">
        <v>187</v>
      </c>
      <c r="AG43" s="264" t="s">
        <v>188</v>
      </c>
      <c r="AH43" s="264" t="str">
        <f>IF($E$43=0,"",$E$43)</f>
        <v xml:space="preserve">Тарифы на услуги по передаче теплоносителя</v>
      </c>
      <c r="AI43" s="264" t="str">
        <f>IF($G$43=0,"",$G$43)</f>
        <v/>
      </c>
      <c r="AJ43" s="264" t="str">
        <f>IF($J$43=0,"",$J$43)</f>
        <v/>
      </c>
      <c r="AK43" s="264" t="str">
        <f>IF($K$43="нет","без дифференциации",IF($N$43=0,"",$N$43))</f>
        <v/>
      </c>
      <c r="AL43" s="264" t="str">
        <f>IF($O$43="нет","без дифференциации",IF($R$43=0,"",$R$43))</f>
        <v/>
      </c>
      <c r="AM43" s="264" t="str">
        <f>IF($S$43="нет","без дифференциации",IF($V$43=0,"",$V$43))</f>
        <v/>
      </c>
      <c r="AN43" s="282">
        <f>$I$43</f>
        <v>0</v>
      </c>
      <c r="AO43" s="264" t="str">
        <f>$I$43&amp;"."&amp;$M$43</f>
        <v>.</v>
      </c>
      <c r="AP43" s="106" t="str">
        <f>$I$43&amp;"."&amp;$M$43&amp;"."&amp;$Q$43</f>
        <v>..</v>
      </c>
      <c r="AQ43" s="106" t="str">
        <f>$I$43&amp;"."&amp;$M$43&amp;"."&amp;$Q$43&amp;"."&amp;$U$43</f>
        <v>...</v>
      </c>
      <c r="AR43" s="184">
        <v>0</v>
      </c>
    </row>
    <row r="44" s="184" customFormat="1" ht="17.25" hidden="1" customHeight="1">
      <c r="A44" s="253"/>
      <c r="C44" s="184"/>
      <c r="D44" s="254"/>
      <c r="E44" s="255"/>
      <c r="F44" s="265"/>
      <c r="G44" s="255"/>
      <c r="H44" s="266"/>
      <c r="I44" s="267"/>
      <c r="J44" s="268"/>
      <c r="K44" s="125"/>
      <c r="L44" s="125"/>
      <c r="M44" s="125"/>
      <c r="N44" s="269"/>
      <c r="O44" s="125"/>
      <c r="P44" s="125"/>
      <c r="Q44" s="125"/>
      <c r="R44" s="270"/>
      <c r="S44" s="125"/>
      <c r="T44" s="271"/>
      <c r="U44" s="271"/>
      <c r="V44" s="271"/>
      <c r="W44" s="272"/>
      <c r="X44" s="106"/>
      <c r="Y44" s="106"/>
      <c r="Z44" s="106"/>
      <c r="AA44" s="106"/>
      <c r="AB44" s="106"/>
      <c r="AC44" s="106"/>
      <c r="AD44" s="106"/>
      <c r="AE44" s="106"/>
      <c r="AF44" s="106"/>
      <c r="AG44" s="106"/>
      <c r="AH44" s="106"/>
      <c r="AI44" s="106"/>
      <c r="AJ44" s="106"/>
      <c r="AK44" s="106"/>
      <c r="AL44" s="106"/>
      <c r="AM44" s="106"/>
      <c r="AN44" s="106"/>
      <c r="AO44" s="106"/>
      <c r="AP44" s="106"/>
      <c r="AQ44" s="106"/>
      <c r="AR44" s="184">
        <v>0</v>
      </c>
    </row>
    <row r="45" s="184" customFormat="1" ht="17.25" hidden="1" customHeight="1">
      <c r="A45" s="253"/>
      <c r="C45" s="184"/>
      <c r="D45" s="274"/>
      <c r="E45" s="275"/>
      <c r="F45" s="265"/>
      <c r="G45" s="275"/>
      <c r="H45" s="266"/>
      <c r="I45" s="267"/>
      <c r="J45" s="273"/>
      <c r="K45" s="125"/>
      <c r="L45" s="125"/>
      <c r="M45" s="125"/>
      <c r="N45" s="270"/>
      <c r="O45" s="125"/>
      <c r="P45" s="125"/>
      <c r="Q45" s="271"/>
      <c r="R45" s="271"/>
      <c r="S45" s="184"/>
      <c r="T45" s="184"/>
      <c r="U45" s="184"/>
      <c r="V45" s="184"/>
      <c r="W45" s="272"/>
      <c r="X45" s="106"/>
      <c r="Y45" s="106"/>
      <c r="Z45" s="106"/>
      <c r="AA45" s="106"/>
      <c r="AB45" s="106"/>
      <c r="AC45" s="106"/>
      <c r="AD45" s="106"/>
      <c r="AE45" s="106"/>
      <c r="AF45" s="106"/>
      <c r="AG45" s="106"/>
      <c r="AH45" s="106"/>
      <c r="AI45" s="106"/>
      <c r="AJ45" s="106"/>
      <c r="AK45" s="106"/>
      <c r="AL45" s="106"/>
      <c r="AM45" s="106"/>
      <c r="AN45" s="106"/>
      <c r="AO45" s="106"/>
      <c r="AP45" s="106"/>
      <c r="AQ45" s="106"/>
      <c r="AR45" s="184">
        <v>0</v>
      </c>
    </row>
    <row r="46" s="184" customFormat="1" ht="17.25" hidden="1" customHeight="1">
      <c r="A46" s="253"/>
      <c r="C46" s="128"/>
      <c r="D46" s="274"/>
      <c r="E46" s="275"/>
      <c r="F46" s="265"/>
      <c r="G46" s="275"/>
      <c r="H46" s="266"/>
      <c r="I46" s="267"/>
      <c r="J46" s="273"/>
      <c r="K46" s="125"/>
      <c r="L46" s="271"/>
      <c r="M46" s="271"/>
      <c r="N46" s="271"/>
      <c r="O46" s="271"/>
      <c r="P46" s="271"/>
      <c r="Q46" s="271"/>
      <c r="R46" s="271"/>
      <c r="S46" s="184"/>
      <c r="T46" s="184"/>
      <c r="U46" s="184"/>
      <c r="V46" s="184"/>
      <c r="W46" s="272"/>
      <c r="Y46" s="264"/>
      <c r="Z46" s="264"/>
      <c r="AA46" s="264"/>
      <c r="AB46" s="264"/>
      <c r="AC46" s="264"/>
      <c r="AD46" s="264"/>
      <c r="AE46" s="264"/>
      <c r="AF46" s="264"/>
      <c r="AG46" s="264"/>
      <c r="AH46" s="264"/>
      <c r="AI46" s="264"/>
      <c r="AJ46" s="264"/>
      <c r="AK46" s="264"/>
      <c r="AL46" s="264"/>
      <c r="AM46" s="264"/>
      <c r="AN46" s="264"/>
      <c r="AO46" s="264"/>
      <c r="AP46" s="264"/>
      <c r="AQ46" s="264"/>
      <c r="AR46" s="184">
        <v>0</v>
      </c>
    </row>
    <row r="47" s="184" customFormat="1" ht="17.25" hidden="1" customHeight="1">
      <c r="A47" s="253"/>
      <c r="C47" s="184"/>
      <c r="D47" s="274"/>
      <c r="E47" s="275"/>
      <c r="F47" s="276"/>
      <c r="G47" s="275"/>
      <c r="H47" s="277"/>
      <c r="I47" s="278"/>
      <c r="J47" s="278"/>
      <c r="K47" s="278"/>
      <c r="L47" s="278"/>
      <c r="M47" s="278"/>
      <c r="N47" s="278"/>
      <c r="O47" s="278"/>
      <c r="P47" s="278"/>
      <c r="Q47" s="278"/>
      <c r="R47" s="278"/>
      <c r="S47" s="279"/>
      <c r="T47" s="279"/>
      <c r="U47" s="279"/>
      <c r="V47" s="279"/>
      <c r="W47" s="280"/>
      <c r="X47" s="106"/>
      <c r="Y47" s="106"/>
      <c r="Z47" s="106"/>
      <c r="AA47" s="106"/>
      <c r="AB47" s="106"/>
      <c r="AC47" s="106"/>
      <c r="AD47" s="106"/>
      <c r="AE47" s="106"/>
      <c r="AF47" s="106"/>
      <c r="AG47" s="106"/>
      <c r="AH47" s="106"/>
      <c r="AI47" s="106"/>
      <c r="AJ47" s="106"/>
      <c r="AK47" s="106"/>
      <c r="AL47" s="106"/>
      <c r="AM47" s="106"/>
      <c r="AN47" s="106"/>
      <c r="AO47" s="106"/>
      <c r="AP47" s="106"/>
      <c r="AQ47" s="106"/>
      <c r="AR47" s="184">
        <v>0</v>
      </c>
    </row>
    <row r="48" s="184" customFormat="1" ht="17.25" hidden="1" customHeight="1">
      <c r="A48" s="253"/>
      <c r="C48" s="128"/>
      <c r="D48" s="284">
        <v>7</v>
      </c>
      <c r="E48" s="285" t="s">
        <v>189</v>
      </c>
      <c r="F48" s="256" t="s">
        <v>19</v>
      </c>
      <c r="G48" s="285"/>
      <c r="H48" s="257"/>
      <c r="I48" s="258"/>
      <c r="J48" s="259"/>
      <c r="K48" s="260"/>
      <c r="L48" s="260"/>
      <c r="M48" s="260"/>
      <c r="N48" s="261"/>
      <c r="O48" s="260"/>
      <c r="P48" s="260"/>
      <c r="Q48" s="260"/>
      <c r="R48" s="262"/>
      <c r="S48" s="260"/>
      <c r="T48" s="260"/>
      <c r="U48" s="260"/>
      <c r="V48" s="262"/>
      <c r="W48" s="263"/>
      <c r="X48" s="264"/>
      <c r="Y48" s="264"/>
      <c r="Z48" s="264"/>
      <c r="AA48" s="264"/>
      <c r="AB48" s="264"/>
      <c r="AC48" s="264" t="s">
        <v>190</v>
      </c>
      <c r="AD48" s="264" t="s">
        <v>191</v>
      </c>
      <c r="AE48" s="264" t="s">
        <v>192</v>
      </c>
      <c r="AF48" s="264" t="s">
        <v>193</v>
      </c>
      <c r="AG48" s="264" t="s">
        <v>194</v>
      </c>
      <c r="AH48" s="264" t="str">
        <f>IF($E$48=0,"",$E$48)</f>
        <v xml:space="preserve">Плата за услуги по поддержанию резервной тепловой мощности при отсутствии потребления тепловой энергии</v>
      </c>
      <c r="AI48" s="264" t="str">
        <f>IF($G$48=0,"",$G$48)</f>
        <v/>
      </c>
      <c r="AJ48" s="264" t="str">
        <f>IF($J$48=0,"",$J$48)</f>
        <v/>
      </c>
      <c r="AK48" s="264" t="str">
        <f>IF($K$48="нет","без дифференциации",IF($N$48=0,"",$N$48))</f>
        <v/>
      </c>
      <c r="AL48" s="264" t="str">
        <f>IF($O$48="нет","без дифференциации",IF($R$48=0,"",$R$48))</f>
        <v/>
      </c>
      <c r="AM48" s="264" t="str">
        <f>IF($S$48="нет","без дифференциации",IF($V$48=0,"",$V$48))</f>
        <v/>
      </c>
      <c r="AN48" s="282">
        <f>$I$48</f>
        <v>0</v>
      </c>
      <c r="AO48" s="264" t="str">
        <f>$I$48&amp;"."&amp;$M$48</f>
        <v>.</v>
      </c>
      <c r="AP48" s="106" t="str">
        <f>$I$48&amp;"."&amp;$M$48&amp;"."&amp;$Q$48</f>
        <v>..</v>
      </c>
      <c r="AQ48" s="106" t="str">
        <f>$I$48&amp;"."&amp;$M$48&amp;"."&amp;$Q$48&amp;"."&amp;$U$48</f>
        <v>...</v>
      </c>
      <c r="AR48" s="184">
        <v>0</v>
      </c>
    </row>
    <row r="49" s="184" customFormat="1" ht="17.25" hidden="1" customHeight="1">
      <c r="A49" s="253"/>
      <c r="C49" s="184"/>
      <c r="D49" s="286"/>
      <c r="E49" s="287"/>
      <c r="F49" s="265"/>
      <c r="G49" s="287"/>
      <c r="H49" s="266"/>
      <c r="I49" s="267"/>
      <c r="J49" s="268"/>
      <c r="K49" s="125"/>
      <c r="L49" s="125"/>
      <c r="M49" s="125"/>
      <c r="N49" s="269"/>
      <c r="O49" s="125"/>
      <c r="P49" s="125"/>
      <c r="Q49" s="125"/>
      <c r="R49" s="270"/>
      <c r="S49" s="125"/>
      <c r="T49" s="271"/>
      <c r="U49" s="271"/>
      <c r="V49" s="271"/>
      <c r="W49" s="272"/>
      <c r="X49" s="106"/>
      <c r="Y49" s="106"/>
      <c r="Z49" s="106"/>
      <c r="AA49" s="106"/>
      <c r="AB49" s="106"/>
      <c r="AC49" s="106"/>
      <c r="AD49" s="106"/>
      <c r="AE49" s="106"/>
      <c r="AF49" s="106"/>
      <c r="AG49" s="106"/>
      <c r="AH49" s="106"/>
      <c r="AI49" s="106"/>
      <c r="AJ49" s="106"/>
      <c r="AK49" s="106"/>
      <c r="AL49" s="106"/>
      <c r="AM49" s="106"/>
      <c r="AN49" s="106"/>
      <c r="AO49" s="106"/>
      <c r="AP49" s="106"/>
      <c r="AQ49" s="106"/>
      <c r="AR49" s="184">
        <v>0</v>
      </c>
    </row>
    <row r="50" s="184" customFormat="1" ht="17.25" hidden="1" customHeight="1">
      <c r="A50" s="253"/>
      <c r="C50" s="184"/>
      <c r="D50" s="286"/>
      <c r="E50" s="287"/>
      <c r="F50" s="265"/>
      <c r="G50" s="287"/>
      <c r="H50" s="266"/>
      <c r="I50" s="267"/>
      <c r="J50" s="273"/>
      <c r="K50" s="125"/>
      <c r="L50" s="125"/>
      <c r="M50" s="125"/>
      <c r="N50" s="270"/>
      <c r="O50" s="125"/>
      <c r="P50" s="125"/>
      <c r="Q50" s="271"/>
      <c r="R50" s="271"/>
      <c r="S50" s="184"/>
      <c r="T50" s="184"/>
      <c r="U50" s="184"/>
      <c r="V50" s="184"/>
      <c r="W50" s="272"/>
      <c r="X50" s="106"/>
      <c r="Y50" s="106"/>
      <c r="Z50" s="106"/>
      <c r="AA50" s="106"/>
      <c r="AB50" s="106"/>
      <c r="AC50" s="106"/>
      <c r="AD50" s="106"/>
      <c r="AE50" s="106"/>
      <c r="AF50" s="106"/>
      <c r="AG50" s="106"/>
      <c r="AH50" s="106"/>
      <c r="AI50" s="106"/>
      <c r="AJ50" s="106"/>
      <c r="AK50" s="106"/>
      <c r="AL50" s="106"/>
      <c r="AM50" s="106"/>
      <c r="AN50" s="106"/>
      <c r="AO50" s="106"/>
      <c r="AP50" s="106"/>
      <c r="AQ50" s="106"/>
      <c r="AR50" s="184">
        <v>0</v>
      </c>
    </row>
    <row r="51" s="184" customFormat="1" ht="17.25" hidden="1" customHeight="1">
      <c r="A51" s="253"/>
      <c r="C51" s="128"/>
      <c r="D51" s="286"/>
      <c r="E51" s="287"/>
      <c r="F51" s="265"/>
      <c r="G51" s="287"/>
      <c r="H51" s="266"/>
      <c r="I51" s="267"/>
      <c r="J51" s="273"/>
      <c r="K51" s="125"/>
      <c r="L51" s="271"/>
      <c r="M51" s="271"/>
      <c r="N51" s="271"/>
      <c r="O51" s="271"/>
      <c r="P51" s="271"/>
      <c r="Q51" s="271"/>
      <c r="R51" s="271"/>
      <c r="S51" s="184"/>
      <c r="T51" s="184"/>
      <c r="U51" s="184"/>
      <c r="V51" s="184"/>
      <c r="W51" s="272"/>
      <c r="Y51" s="264"/>
      <c r="Z51" s="264"/>
      <c r="AA51" s="264"/>
      <c r="AB51" s="264"/>
      <c r="AC51" s="264"/>
      <c r="AD51" s="264"/>
      <c r="AE51" s="264"/>
      <c r="AF51" s="264"/>
      <c r="AG51" s="264"/>
      <c r="AH51" s="264"/>
      <c r="AI51" s="264"/>
      <c r="AJ51" s="264"/>
      <c r="AK51" s="264"/>
      <c r="AL51" s="264"/>
      <c r="AM51" s="264"/>
      <c r="AN51" s="264"/>
      <c r="AO51" s="264"/>
      <c r="AP51" s="264"/>
      <c r="AQ51" s="264"/>
      <c r="AR51" s="184">
        <v>0</v>
      </c>
    </row>
    <row r="52" s="184" customFormat="1" ht="17.25" hidden="1" customHeight="1">
      <c r="A52" s="253"/>
      <c r="C52" s="184"/>
      <c r="D52" s="288"/>
      <c r="E52" s="289"/>
      <c r="F52" s="276"/>
      <c r="G52" s="289"/>
      <c r="H52" s="277"/>
      <c r="I52" s="278"/>
      <c r="J52" s="278"/>
      <c r="K52" s="278"/>
      <c r="L52" s="278"/>
      <c r="M52" s="278"/>
      <c r="N52" s="278"/>
      <c r="O52" s="278"/>
      <c r="P52" s="278"/>
      <c r="Q52" s="278"/>
      <c r="R52" s="278"/>
      <c r="S52" s="279"/>
      <c r="T52" s="279"/>
      <c r="U52" s="279"/>
      <c r="V52" s="279"/>
      <c r="W52" s="280"/>
      <c r="X52" s="106"/>
      <c r="Y52" s="106"/>
      <c r="Z52" s="106"/>
      <c r="AA52" s="106"/>
      <c r="AB52" s="106"/>
      <c r="AC52" s="106"/>
      <c r="AD52" s="106"/>
      <c r="AE52" s="106"/>
      <c r="AF52" s="106"/>
      <c r="AG52" s="106"/>
      <c r="AH52" s="106"/>
      <c r="AI52" s="106"/>
      <c r="AJ52" s="106"/>
      <c r="AK52" s="106"/>
      <c r="AL52" s="106"/>
      <c r="AM52" s="106"/>
      <c r="AN52" s="106"/>
      <c r="AO52" s="106"/>
      <c r="AP52" s="106"/>
      <c r="AQ52" s="106"/>
      <c r="AR52" s="184">
        <v>0</v>
      </c>
    </row>
    <row r="53" s="184" customFormat="1" ht="17.25" hidden="1" customHeight="1">
      <c r="A53" s="253"/>
      <c r="C53" s="128"/>
      <c r="D53" s="254">
        <v>8</v>
      </c>
      <c r="E53" s="255" t="s">
        <v>195</v>
      </c>
      <c r="F53" s="256" t="s">
        <v>19</v>
      </c>
      <c r="G53" s="255"/>
      <c r="H53" s="257"/>
      <c r="I53" s="258"/>
      <c r="J53" s="259"/>
      <c r="K53" s="260"/>
      <c r="L53" s="260"/>
      <c r="M53" s="260"/>
      <c r="N53" s="261"/>
      <c r="O53" s="260"/>
      <c r="P53" s="260"/>
      <c r="Q53" s="260"/>
      <c r="R53" s="262"/>
      <c r="S53" s="260"/>
      <c r="T53" s="260"/>
      <c r="U53" s="260"/>
      <c r="V53" s="262"/>
      <c r="W53" s="263"/>
      <c r="X53" s="264"/>
      <c r="Y53" s="264"/>
      <c r="Z53" s="264"/>
      <c r="AA53" s="264"/>
      <c r="AB53" s="264"/>
      <c r="AC53" s="264" t="s">
        <v>196</v>
      </c>
      <c r="AD53" s="264" t="s">
        <v>197</v>
      </c>
      <c r="AE53" s="264" t="s">
        <v>198</v>
      </c>
      <c r="AF53" s="264" t="s">
        <v>199</v>
      </c>
      <c r="AG53" s="264" t="s">
        <v>200</v>
      </c>
      <c r="AH53" s="264" t="str">
        <f>IF($E$53=0,"",$E$53)</f>
        <v xml:space="preserve">Плата за подключение (технологическое присоединение) к системе теплоснабжения</v>
      </c>
      <c r="AI53" s="264" t="str">
        <f>IF($G$53=0,"",$G$53)</f>
        <v/>
      </c>
      <c r="AJ53" s="264" t="str">
        <f>IF($J$53=0,"",$J$53)</f>
        <v/>
      </c>
      <c r="AK53" s="264" t="str">
        <f>IF($K$53="нет","без дифференциации",IF($N$53=0,"",$N$53))</f>
        <v/>
      </c>
      <c r="AL53" s="264" t="str">
        <f>IF($O$53="нет","без дифференциации",IF($R$53=0,"",$R$53))</f>
        <v/>
      </c>
      <c r="AM53" s="264" t="str">
        <f>IF($S$53="нет","без дифференциации",IF($V$53=0,"",$V$53))</f>
        <v/>
      </c>
      <c r="AN53" s="282">
        <f>$I$53</f>
        <v>0</v>
      </c>
      <c r="AO53" s="264" t="str">
        <f>$I$53&amp;"."&amp;$M$53</f>
        <v>.</v>
      </c>
      <c r="AP53" s="106" t="str">
        <f>$I$53&amp;"."&amp;$M$53&amp;"."&amp;$Q$53</f>
        <v>..</v>
      </c>
      <c r="AQ53" s="106" t="str">
        <f>$I$53&amp;"."&amp;$M$53&amp;"."&amp;$Q$53&amp;"."&amp;$U$53</f>
        <v>...</v>
      </c>
      <c r="AR53" s="184">
        <v>0</v>
      </c>
    </row>
    <row r="54" s="184" customFormat="1" ht="17.25" hidden="1" customHeight="1">
      <c r="A54" s="253"/>
      <c r="C54" s="184"/>
      <c r="D54" s="254"/>
      <c r="E54" s="255"/>
      <c r="F54" s="265"/>
      <c r="G54" s="255"/>
      <c r="H54" s="266"/>
      <c r="I54" s="267"/>
      <c r="J54" s="268"/>
      <c r="K54" s="125"/>
      <c r="L54" s="125"/>
      <c r="M54" s="125"/>
      <c r="N54" s="269"/>
      <c r="O54" s="125"/>
      <c r="P54" s="125"/>
      <c r="Q54" s="125"/>
      <c r="R54" s="270"/>
      <c r="S54" s="125"/>
      <c r="T54" s="271"/>
      <c r="U54" s="271"/>
      <c r="V54" s="271"/>
      <c r="W54" s="272"/>
      <c r="X54" s="106"/>
      <c r="Y54" s="106"/>
      <c r="Z54" s="106"/>
      <c r="AA54" s="106"/>
      <c r="AB54" s="106"/>
      <c r="AC54" s="106"/>
      <c r="AD54" s="106"/>
      <c r="AE54" s="106"/>
      <c r="AF54" s="106"/>
      <c r="AG54" s="106"/>
      <c r="AH54" s="106"/>
      <c r="AI54" s="106"/>
      <c r="AJ54" s="106"/>
      <c r="AK54" s="106"/>
      <c r="AL54" s="106"/>
      <c r="AM54" s="106"/>
      <c r="AN54" s="106"/>
      <c r="AO54" s="106"/>
      <c r="AP54" s="106"/>
      <c r="AQ54" s="106"/>
      <c r="AR54" s="184">
        <v>0</v>
      </c>
    </row>
    <row r="55" s="184" customFormat="1" ht="17.25" hidden="1" customHeight="1">
      <c r="A55" s="253"/>
      <c r="C55" s="184"/>
      <c r="D55" s="274"/>
      <c r="E55" s="275"/>
      <c r="F55" s="265"/>
      <c r="G55" s="275"/>
      <c r="H55" s="266"/>
      <c r="I55" s="267"/>
      <c r="J55" s="273"/>
      <c r="K55" s="125"/>
      <c r="L55" s="125"/>
      <c r="M55" s="125"/>
      <c r="N55" s="270"/>
      <c r="O55" s="125"/>
      <c r="P55" s="125"/>
      <c r="Q55" s="271"/>
      <c r="R55" s="271"/>
      <c r="S55" s="184"/>
      <c r="T55" s="184"/>
      <c r="U55" s="184"/>
      <c r="V55" s="184"/>
      <c r="W55" s="272"/>
      <c r="X55" s="106"/>
      <c r="Y55" s="106"/>
      <c r="Z55" s="106"/>
      <c r="AA55" s="106"/>
      <c r="AB55" s="106"/>
      <c r="AC55" s="106"/>
      <c r="AD55" s="106"/>
      <c r="AE55" s="106"/>
      <c r="AF55" s="106"/>
      <c r="AG55" s="106"/>
      <c r="AH55" s="106"/>
      <c r="AI55" s="106"/>
      <c r="AJ55" s="106"/>
      <c r="AK55" s="106"/>
      <c r="AL55" s="106"/>
      <c r="AM55" s="106"/>
      <c r="AN55" s="106"/>
      <c r="AO55" s="106"/>
      <c r="AP55" s="106"/>
      <c r="AQ55" s="106"/>
      <c r="AR55" s="184">
        <v>0</v>
      </c>
    </row>
    <row r="56" s="184" customFormat="1" ht="17.25" hidden="1" customHeight="1">
      <c r="A56" s="253"/>
      <c r="C56" s="128"/>
      <c r="D56" s="274"/>
      <c r="E56" s="275"/>
      <c r="F56" s="265"/>
      <c r="G56" s="275"/>
      <c r="H56" s="266"/>
      <c r="I56" s="267"/>
      <c r="J56" s="273"/>
      <c r="K56" s="125"/>
      <c r="L56" s="271"/>
      <c r="M56" s="271"/>
      <c r="N56" s="271"/>
      <c r="O56" s="271"/>
      <c r="P56" s="271"/>
      <c r="Q56" s="271"/>
      <c r="R56" s="271"/>
      <c r="S56" s="184"/>
      <c r="T56" s="184"/>
      <c r="U56" s="184"/>
      <c r="V56" s="184"/>
      <c r="W56" s="272"/>
      <c r="Y56" s="264"/>
      <c r="Z56" s="264"/>
      <c r="AA56" s="264"/>
      <c r="AB56" s="264"/>
      <c r="AC56" s="264"/>
      <c r="AD56" s="264"/>
      <c r="AE56" s="264"/>
      <c r="AF56" s="264"/>
      <c r="AG56" s="264"/>
      <c r="AH56" s="264"/>
      <c r="AI56" s="264"/>
      <c r="AJ56" s="264"/>
      <c r="AK56" s="264"/>
      <c r="AL56" s="264"/>
      <c r="AM56" s="264"/>
      <c r="AN56" s="264"/>
      <c r="AO56" s="264"/>
      <c r="AP56" s="264"/>
      <c r="AQ56" s="264"/>
      <c r="AR56" s="184">
        <v>0</v>
      </c>
    </row>
    <row r="57" s="184" customFormat="1" ht="17.25" hidden="1" customHeight="1">
      <c r="A57" s="253"/>
      <c r="C57" s="184"/>
      <c r="D57" s="274"/>
      <c r="E57" s="275"/>
      <c r="F57" s="276"/>
      <c r="G57" s="275"/>
      <c r="H57" s="277"/>
      <c r="I57" s="278"/>
      <c r="J57" s="278"/>
      <c r="K57" s="278"/>
      <c r="L57" s="278"/>
      <c r="M57" s="278"/>
      <c r="N57" s="278"/>
      <c r="O57" s="278"/>
      <c r="P57" s="278"/>
      <c r="Q57" s="278"/>
      <c r="R57" s="278"/>
      <c r="S57" s="279"/>
      <c r="T57" s="279"/>
      <c r="U57" s="279"/>
      <c r="V57" s="279"/>
      <c r="W57" s="280"/>
      <c r="X57" s="106"/>
      <c r="Y57" s="106"/>
      <c r="Z57" s="106"/>
      <c r="AA57" s="106"/>
      <c r="AB57" s="106"/>
      <c r="AC57" s="106"/>
      <c r="AD57" s="106"/>
      <c r="AE57" s="106"/>
      <c r="AF57" s="106"/>
      <c r="AG57" s="106"/>
      <c r="AH57" s="106"/>
      <c r="AI57" s="106"/>
      <c r="AJ57" s="106"/>
      <c r="AK57" s="106"/>
      <c r="AL57" s="106"/>
      <c r="AM57" s="106"/>
      <c r="AN57" s="106"/>
      <c r="AO57" s="106"/>
      <c r="AP57" s="106"/>
      <c r="AQ57" s="106"/>
      <c r="AR57" s="184">
        <v>0</v>
      </c>
    </row>
    <row r="58" s="184" customFormat="1" ht="17.25" hidden="1" customHeight="1">
      <c r="A58" s="253"/>
      <c r="C58" s="128"/>
      <c r="D58" s="254">
        <v>9</v>
      </c>
      <c r="E58" s="255" t="s">
        <v>201</v>
      </c>
      <c r="F58" s="256" t="s">
        <v>19</v>
      </c>
      <c r="G58" s="255"/>
      <c r="H58" s="257"/>
      <c r="I58" s="258"/>
      <c r="J58" s="259"/>
      <c r="K58" s="260"/>
      <c r="L58" s="260"/>
      <c r="M58" s="260"/>
      <c r="N58" s="261"/>
      <c r="O58" s="260"/>
      <c r="P58" s="260"/>
      <c r="Q58" s="260"/>
      <c r="R58" s="262"/>
      <c r="S58" s="260"/>
      <c r="T58" s="260"/>
      <c r="U58" s="260"/>
      <c r="V58" s="262"/>
      <c r="W58" s="263"/>
      <c r="X58" s="264"/>
      <c r="Y58" s="264"/>
      <c r="Z58" s="264"/>
      <c r="AA58" s="264"/>
      <c r="AB58" s="264"/>
      <c r="AC58" s="264" t="s">
        <v>202</v>
      </c>
      <c r="AD58" s="264" t="s">
        <v>203</v>
      </c>
      <c r="AE58" s="264" t="s">
        <v>204</v>
      </c>
      <c r="AF58" s="264" t="s">
        <v>205</v>
      </c>
      <c r="AG58" s="264" t="s">
        <v>206</v>
      </c>
      <c r="AH58" s="264" t="str">
        <f>IF($E$58=0,"",$E$58)</f>
        <v xml:space="preserve">Плата за подключение (технологическое присоединение) к системе теплоснабжения (индивидуальная)</v>
      </c>
      <c r="AI58" s="264" t="str">
        <f>IF($G$58=0,"",$G$58)</f>
        <v/>
      </c>
      <c r="AJ58" s="264" t="str">
        <f>IF($J$58=0,"",$J$58)</f>
        <v/>
      </c>
      <c r="AK58" s="264" t="str">
        <f>IF($K$58="нет","без дифференциации",IF($N$58=0,"",$N$58))</f>
        <v/>
      </c>
      <c r="AL58" s="264" t="str">
        <f>IF($O$58="нет","без дифференциации",IF($R$58=0,"",$R$58))</f>
        <v/>
      </c>
      <c r="AM58" s="264" t="str">
        <f>IF($S$58="нет","без дифференциации",IF($V$58=0,"",$V$58))</f>
        <v/>
      </c>
      <c r="AN58" s="282">
        <f>$I$58</f>
        <v>0</v>
      </c>
      <c r="AO58" s="264" t="str">
        <f>$I$58&amp;"."&amp;$M$58</f>
        <v>.</v>
      </c>
      <c r="AP58" s="106" t="str">
        <f>$I$58&amp;"."&amp;$M$58&amp;"."&amp;$Q$58</f>
        <v>..</v>
      </c>
      <c r="AQ58" s="106" t="str">
        <f>$I$58&amp;"."&amp;$M$58&amp;"."&amp;$Q$58&amp;"."&amp;$U$58</f>
        <v>...</v>
      </c>
      <c r="AR58" s="184">
        <v>0</v>
      </c>
    </row>
    <row r="59" s="184" customFormat="1" ht="17.25" hidden="1" customHeight="1">
      <c r="A59" s="253"/>
      <c r="C59" s="184"/>
      <c r="D59" s="254"/>
      <c r="E59" s="255"/>
      <c r="F59" s="265"/>
      <c r="G59" s="255"/>
      <c r="H59" s="266"/>
      <c r="I59" s="267"/>
      <c r="J59" s="268"/>
      <c r="K59" s="125"/>
      <c r="L59" s="125"/>
      <c r="M59" s="125"/>
      <c r="N59" s="269"/>
      <c r="O59" s="125"/>
      <c r="P59" s="125"/>
      <c r="Q59" s="125"/>
      <c r="R59" s="270"/>
      <c r="S59" s="125"/>
      <c r="T59" s="271"/>
      <c r="U59" s="271"/>
      <c r="V59" s="271"/>
      <c r="W59" s="272"/>
      <c r="X59" s="106"/>
      <c r="Y59" s="106"/>
      <c r="Z59" s="106"/>
      <c r="AA59" s="106"/>
      <c r="AB59" s="106"/>
      <c r="AC59" s="106"/>
      <c r="AD59" s="106"/>
      <c r="AE59" s="106"/>
      <c r="AF59" s="106"/>
      <c r="AG59" s="106"/>
      <c r="AH59" s="106"/>
      <c r="AI59" s="106"/>
      <c r="AJ59" s="106"/>
      <c r="AK59" s="106"/>
      <c r="AL59" s="106"/>
      <c r="AM59" s="106"/>
      <c r="AN59" s="106"/>
      <c r="AO59" s="106"/>
      <c r="AP59" s="106"/>
      <c r="AQ59" s="106"/>
      <c r="AR59" s="184">
        <v>0</v>
      </c>
    </row>
    <row r="60" s="184" customFormat="1" ht="17.25" hidden="1" customHeight="1">
      <c r="A60" s="253"/>
      <c r="C60" s="184"/>
      <c r="D60" s="274"/>
      <c r="E60" s="275"/>
      <c r="F60" s="265"/>
      <c r="G60" s="275"/>
      <c r="H60" s="266"/>
      <c r="I60" s="267"/>
      <c r="J60" s="273"/>
      <c r="K60" s="125"/>
      <c r="L60" s="125"/>
      <c r="M60" s="125"/>
      <c r="N60" s="270"/>
      <c r="O60" s="125"/>
      <c r="P60" s="125"/>
      <c r="Q60" s="271"/>
      <c r="R60" s="271"/>
      <c r="S60" s="184"/>
      <c r="T60" s="184"/>
      <c r="U60" s="184"/>
      <c r="V60" s="184"/>
      <c r="W60" s="272"/>
      <c r="X60" s="106"/>
      <c r="Y60" s="106"/>
      <c r="Z60" s="106"/>
      <c r="AA60" s="106"/>
      <c r="AB60" s="106"/>
      <c r="AC60" s="106"/>
      <c r="AD60" s="106"/>
      <c r="AE60" s="106"/>
      <c r="AF60" s="106"/>
      <c r="AG60" s="106"/>
      <c r="AH60" s="106"/>
      <c r="AI60" s="106"/>
      <c r="AJ60" s="106"/>
      <c r="AK60" s="106"/>
      <c r="AL60" s="106"/>
      <c r="AM60" s="106"/>
      <c r="AN60" s="106"/>
      <c r="AO60" s="106"/>
      <c r="AP60" s="106"/>
      <c r="AQ60" s="106"/>
      <c r="AR60" s="184">
        <v>0</v>
      </c>
    </row>
    <row r="61" s="184" customFormat="1" ht="17.25" hidden="1" customHeight="1">
      <c r="A61" s="253"/>
      <c r="C61" s="128"/>
      <c r="D61" s="274"/>
      <c r="E61" s="275"/>
      <c r="F61" s="265"/>
      <c r="G61" s="275"/>
      <c r="H61" s="266"/>
      <c r="I61" s="267"/>
      <c r="J61" s="273"/>
      <c r="K61" s="125"/>
      <c r="L61" s="271"/>
      <c r="M61" s="271"/>
      <c r="N61" s="271"/>
      <c r="O61" s="271"/>
      <c r="P61" s="271"/>
      <c r="Q61" s="271"/>
      <c r="R61" s="271"/>
      <c r="S61" s="184"/>
      <c r="T61" s="184"/>
      <c r="U61" s="184"/>
      <c r="V61" s="184"/>
      <c r="W61" s="272"/>
      <c r="Y61" s="264"/>
      <c r="Z61" s="264"/>
      <c r="AA61" s="264"/>
      <c r="AB61" s="264"/>
      <c r="AC61" s="264"/>
      <c r="AD61" s="264"/>
      <c r="AE61" s="264"/>
      <c r="AF61" s="264"/>
      <c r="AG61" s="264"/>
      <c r="AH61" s="264"/>
      <c r="AI61" s="264"/>
      <c r="AJ61" s="264"/>
      <c r="AK61" s="264"/>
      <c r="AL61" s="264"/>
      <c r="AM61" s="264"/>
      <c r="AN61" s="264"/>
      <c r="AO61" s="264"/>
      <c r="AP61" s="264"/>
      <c r="AQ61" s="264"/>
      <c r="AR61" s="184">
        <v>0</v>
      </c>
    </row>
    <row r="62" s="184" customFormat="1" ht="17.25" hidden="1" customHeight="1">
      <c r="A62" s="253"/>
      <c r="C62" s="184"/>
      <c r="D62" s="274"/>
      <c r="E62" s="275"/>
      <c r="F62" s="276"/>
      <c r="G62" s="275"/>
      <c r="H62" s="277"/>
      <c r="I62" s="278"/>
      <c r="J62" s="278"/>
      <c r="K62" s="278"/>
      <c r="L62" s="278"/>
      <c r="M62" s="278"/>
      <c r="N62" s="278"/>
      <c r="O62" s="278"/>
      <c r="P62" s="278"/>
      <c r="Q62" s="278"/>
      <c r="R62" s="278"/>
      <c r="S62" s="279"/>
      <c r="T62" s="279"/>
      <c r="U62" s="279"/>
      <c r="V62" s="279"/>
      <c r="W62" s="280"/>
      <c r="X62" s="106"/>
      <c r="Y62" s="106"/>
      <c r="Z62" s="106"/>
      <c r="AA62" s="106"/>
      <c r="AB62" s="106"/>
      <c r="AC62" s="106"/>
      <c r="AD62" s="106"/>
      <c r="AE62" s="106"/>
      <c r="AF62" s="106"/>
      <c r="AG62" s="106"/>
      <c r="AH62" s="106"/>
      <c r="AI62" s="106"/>
      <c r="AJ62" s="106"/>
      <c r="AK62" s="106"/>
      <c r="AL62" s="106"/>
      <c r="AM62" s="106"/>
      <c r="AN62" s="106"/>
      <c r="AO62" s="106"/>
      <c r="AP62" s="106"/>
      <c r="AQ62" s="106"/>
      <c r="AR62" s="184">
        <v>0</v>
      </c>
    </row>
    <row r="63" s="184" customFormat="1" ht="17.25" hidden="1" customHeight="1">
      <c r="A63" s="253"/>
      <c r="C63" s="128"/>
      <c r="D63" s="254">
        <v>10</v>
      </c>
      <c r="E63" s="255" t="s">
        <v>207</v>
      </c>
      <c r="F63" s="256" t="s">
        <v>19</v>
      </c>
      <c r="G63" s="255"/>
      <c r="H63" s="257"/>
      <c r="I63" s="258"/>
      <c r="J63" s="259"/>
      <c r="K63" s="260"/>
      <c r="L63" s="260"/>
      <c r="M63" s="260"/>
      <c r="N63" s="261"/>
      <c r="O63" s="260"/>
      <c r="P63" s="260"/>
      <c r="Q63" s="260"/>
      <c r="R63" s="262"/>
      <c r="S63" s="260"/>
      <c r="T63" s="260"/>
      <c r="U63" s="260"/>
      <c r="V63" s="262"/>
      <c r="W63" s="263"/>
      <c r="X63" s="264"/>
      <c r="Y63" s="264"/>
      <c r="Z63" s="264"/>
      <c r="AA63" s="264"/>
      <c r="AB63" s="264"/>
      <c r="AC63" s="264" t="s">
        <v>208</v>
      </c>
      <c r="AD63" s="264" t="s">
        <v>209</v>
      </c>
      <c r="AE63" s="264" t="s">
        <v>210</v>
      </c>
      <c r="AF63" s="264" t="s">
        <v>211</v>
      </c>
      <c r="AG63" s="264" t="s">
        <v>212</v>
      </c>
      <c r="AH63" s="264" t="str">
        <f>IF($E$63=0,"",$E$63)</f>
        <v xml:space="preserve">Предельный уровень цены на тепловую энергию (мощность), поставляемую теплоснабжающими организациями потребителям</v>
      </c>
      <c r="AI63" s="264" t="str">
        <f>IF($G$63=0,"",$G$63)</f>
        <v/>
      </c>
      <c r="AJ63" s="264" t="str">
        <f>IF($J$63=0,"",$J$63)</f>
        <v/>
      </c>
      <c r="AK63" s="264" t="str">
        <f>IF($K$63="нет","без дифференциации",IF($N$63=0,"",$N$63))</f>
        <v/>
      </c>
      <c r="AL63" s="264" t="str">
        <f>IF($O$63="нет","без дифференциации",IF($R$63=0,"",$R$63))</f>
        <v/>
      </c>
      <c r="AM63" s="264" t="str">
        <f>IF($S$63="нет","без дифференциации",IF($V$63=0,"",$V$63))</f>
        <v/>
      </c>
      <c r="AN63" s="282">
        <f>$I$63</f>
        <v>0</v>
      </c>
      <c r="AO63" s="264" t="str">
        <f>$I$63&amp;"."&amp;$M$63</f>
        <v>.</v>
      </c>
      <c r="AP63" s="106" t="str">
        <f>$I$63&amp;"."&amp;$M$63&amp;"."&amp;$Q$63</f>
        <v>..</v>
      </c>
      <c r="AQ63" s="106" t="str">
        <f>$I$63&amp;"."&amp;$M$63&amp;"."&amp;$Q$63&amp;"."&amp;$U$63</f>
        <v>...</v>
      </c>
      <c r="AR63" s="184">
        <v>0</v>
      </c>
    </row>
    <row r="64" s="184" customFormat="1" ht="17.25" hidden="1" customHeight="1">
      <c r="A64" s="253"/>
      <c r="C64" s="184"/>
      <c r="D64" s="254"/>
      <c r="E64" s="255"/>
      <c r="F64" s="265"/>
      <c r="G64" s="255"/>
      <c r="H64" s="266"/>
      <c r="I64" s="267"/>
      <c r="J64" s="268"/>
      <c r="K64" s="125"/>
      <c r="L64" s="125"/>
      <c r="M64" s="125"/>
      <c r="N64" s="269"/>
      <c r="O64" s="125"/>
      <c r="P64" s="125"/>
      <c r="Q64" s="125"/>
      <c r="R64" s="270"/>
      <c r="S64" s="125"/>
      <c r="T64" s="271"/>
      <c r="U64" s="271"/>
      <c r="V64" s="271"/>
      <c r="W64" s="272"/>
      <c r="X64" s="106"/>
      <c r="Y64" s="106"/>
      <c r="Z64" s="106"/>
      <c r="AA64" s="106"/>
      <c r="AB64" s="106"/>
      <c r="AC64" s="106"/>
      <c r="AD64" s="106"/>
      <c r="AE64" s="106"/>
      <c r="AF64" s="106"/>
      <c r="AG64" s="106"/>
      <c r="AH64" s="106"/>
      <c r="AI64" s="106"/>
      <c r="AJ64" s="106"/>
      <c r="AK64" s="106"/>
      <c r="AL64" s="106"/>
      <c r="AM64" s="106"/>
      <c r="AN64" s="106"/>
      <c r="AO64" s="106"/>
      <c r="AP64" s="106"/>
      <c r="AQ64" s="106"/>
      <c r="AR64" s="184">
        <v>0</v>
      </c>
    </row>
    <row r="65" s="184" customFormat="1" ht="17.25" hidden="1" customHeight="1">
      <c r="A65" s="253"/>
      <c r="C65" s="184"/>
      <c r="D65" s="274"/>
      <c r="E65" s="275"/>
      <c r="F65" s="265"/>
      <c r="G65" s="275"/>
      <c r="H65" s="266"/>
      <c r="I65" s="267"/>
      <c r="J65" s="273"/>
      <c r="K65" s="125"/>
      <c r="L65" s="125"/>
      <c r="M65" s="125"/>
      <c r="N65" s="270"/>
      <c r="O65" s="125"/>
      <c r="P65" s="125"/>
      <c r="Q65" s="271"/>
      <c r="R65" s="271"/>
      <c r="S65" s="184"/>
      <c r="T65" s="184"/>
      <c r="U65" s="184"/>
      <c r="V65" s="184"/>
      <c r="W65" s="272"/>
      <c r="X65" s="106"/>
      <c r="Y65" s="106"/>
      <c r="Z65" s="106"/>
      <c r="AA65" s="106"/>
      <c r="AB65" s="106"/>
      <c r="AC65" s="106"/>
      <c r="AD65" s="106"/>
      <c r="AE65" s="106"/>
      <c r="AF65" s="106"/>
      <c r="AG65" s="106"/>
      <c r="AH65" s="106"/>
      <c r="AI65" s="106"/>
      <c r="AJ65" s="106"/>
      <c r="AK65" s="106"/>
      <c r="AL65" s="106"/>
      <c r="AM65" s="106"/>
      <c r="AN65" s="106"/>
      <c r="AO65" s="106"/>
      <c r="AP65" s="106"/>
      <c r="AQ65" s="106"/>
      <c r="AR65" s="184">
        <v>0</v>
      </c>
    </row>
    <row r="66" s="184" customFormat="1" ht="17.25" hidden="1" customHeight="1">
      <c r="A66" s="253"/>
      <c r="C66" s="128"/>
      <c r="D66" s="274"/>
      <c r="E66" s="275"/>
      <c r="F66" s="265"/>
      <c r="G66" s="275"/>
      <c r="H66" s="266"/>
      <c r="I66" s="267"/>
      <c r="J66" s="273"/>
      <c r="K66" s="125"/>
      <c r="L66" s="271"/>
      <c r="M66" s="271"/>
      <c r="N66" s="271"/>
      <c r="O66" s="271"/>
      <c r="P66" s="271"/>
      <c r="Q66" s="271"/>
      <c r="R66" s="271"/>
      <c r="S66" s="184"/>
      <c r="T66" s="184"/>
      <c r="U66" s="184"/>
      <c r="V66" s="184"/>
      <c r="W66" s="272"/>
      <c r="Y66" s="264"/>
      <c r="Z66" s="264"/>
      <c r="AA66" s="264"/>
      <c r="AB66" s="264"/>
      <c r="AC66" s="264"/>
      <c r="AD66" s="264"/>
      <c r="AE66" s="264"/>
      <c r="AF66" s="264"/>
      <c r="AG66" s="264"/>
      <c r="AH66" s="264"/>
      <c r="AI66" s="264"/>
      <c r="AJ66" s="264"/>
      <c r="AK66" s="264"/>
      <c r="AL66" s="264"/>
      <c r="AM66" s="264"/>
      <c r="AN66" s="264"/>
      <c r="AO66" s="264"/>
      <c r="AP66" s="264"/>
      <c r="AQ66" s="264"/>
      <c r="AR66" s="184">
        <v>0</v>
      </c>
    </row>
    <row r="67" s="184" customFormat="1" ht="17.25" hidden="1" customHeight="1">
      <c r="A67" s="253"/>
      <c r="C67" s="184"/>
      <c r="D67" s="274"/>
      <c r="E67" s="275"/>
      <c r="F67" s="276"/>
      <c r="G67" s="275"/>
      <c r="H67" s="277"/>
      <c r="I67" s="278"/>
      <c r="J67" s="278"/>
      <c r="K67" s="278"/>
      <c r="L67" s="278"/>
      <c r="M67" s="278"/>
      <c r="N67" s="278"/>
      <c r="O67" s="278"/>
      <c r="P67" s="278"/>
      <c r="Q67" s="278"/>
      <c r="R67" s="278"/>
      <c r="S67" s="279"/>
      <c r="T67" s="279"/>
      <c r="U67" s="279"/>
      <c r="V67" s="279"/>
      <c r="W67" s="280"/>
      <c r="X67" s="106"/>
      <c r="Y67" s="106"/>
      <c r="Z67" s="106"/>
      <c r="AA67" s="106"/>
      <c r="AB67" s="106"/>
      <c r="AC67" s="106"/>
      <c r="AD67" s="106"/>
      <c r="AE67" s="106"/>
      <c r="AF67" s="106"/>
      <c r="AG67" s="106"/>
      <c r="AH67" s="106"/>
      <c r="AI67" s="106"/>
      <c r="AJ67" s="106"/>
      <c r="AK67" s="106"/>
      <c r="AL67" s="106"/>
      <c r="AM67" s="106"/>
      <c r="AN67" s="106"/>
      <c r="AO67" s="106"/>
      <c r="AP67" s="106"/>
      <c r="AQ67" s="106"/>
      <c r="AR67" s="184">
        <v>0</v>
      </c>
    </row>
    <row r="68" ht="11.25" hidden="1" customHeight="1">
      <c r="AR68" s="184">
        <v>0</v>
      </c>
    </row>
    <row r="69" ht="11.25" hidden="1" customHeight="1">
      <c r="E69" s="290" t="s">
        <v>213</v>
      </c>
      <c r="F69" s="290"/>
      <c r="G69" s="290"/>
      <c r="H69" s="290"/>
      <c r="I69" s="290"/>
      <c r="J69" s="290"/>
      <c r="K69" s="290"/>
      <c r="L69" s="290"/>
      <c r="M69" s="290"/>
      <c r="N69" s="290"/>
      <c r="O69" s="290"/>
      <c r="P69" s="290"/>
      <c r="Q69" s="290"/>
      <c r="R69" s="290"/>
      <c r="S69" s="290"/>
      <c r="T69" s="290"/>
      <c r="U69" s="290"/>
      <c r="V69" s="290"/>
      <c r="W69" s="290"/>
      <c r="AR69" s="184">
        <v>0</v>
      </c>
    </row>
    <row r="70" ht="36.75" hidden="1" customHeight="1">
      <c r="E70" s="291" t="s">
        <v>214</v>
      </c>
      <c r="F70" s="291"/>
      <c r="G70" s="292"/>
      <c r="H70" s="292"/>
      <c r="I70" s="292"/>
      <c r="J70" s="292"/>
      <c r="K70" s="292"/>
      <c r="L70" s="292"/>
      <c r="M70" s="292"/>
      <c r="N70" s="292"/>
      <c r="O70" s="292"/>
      <c r="P70" s="292"/>
      <c r="Q70" s="292"/>
      <c r="R70" s="292"/>
      <c r="S70" s="292"/>
      <c r="T70" s="292"/>
      <c r="U70" s="292"/>
      <c r="V70" s="292"/>
      <c r="W70" s="292"/>
      <c r="AR70" s="184">
        <v>0</v>
      </c>
    </row>
    <row r="71" ht="28.5" hidden="1" customHeight="1">
      <c r="E71" s="291" t="s">
        <v>215</v>
      </c>
      <c r="F71" s="291"/>
      <c r="G71" s="292"/>
      <c r="H71" s="292"/>
      <c r="I71" s="292"/>
      <c r="J71" s="292"/>
      <c r="K71" s="292"/>
      <c r="L71" s="292"/>
      <c r="M71" s="292"/>
      <c r="N71" s="292"/>
      <c r="O71" s="292"/>
      <c r="P71" s="292"/>
      <c r="Q71" s="292"/>
      <c r="R71" s="292"/>
      <c r="S71" s="292"/>
      <c r="T71" s="292"/>
      <c r="U71" s="292"/>
      <c r="V71" s="292"/>
      <c r="W71" s="292"/>
      <c r="AR71" s="184">
        <v>0</v>
      </c>
    </row>
    <row r="72" ht="27" hidden="1" customHeight="1">
      <c r="E72" s="291" t="s">
        <v>216</v>
      </c>
      <c r="F72" s="291"/>
      <c r="G72" s="292"/>
      <c r="H72" s="292"/>
      <c r="I72" s="292"/>
      <c r="J72" s="292"/>
      <c r="K72" s="292"/>
      <c r="L72" s="292"/>
      <c r="M72" s="292"/>
      <c r="N72" s="292"/>
      <c r="O72" s="292"/>
      <c r="P72" s="292"/>
      <c r="Q72" s="292"/>
      <c r="R72" s="292"/>
      <c r="S72" s="292"/>
      <c r="T72" s="292"/>
      <c r="U72" s="292"/>
      <c r="V72" s="292"/>
      <c r="W72" s="292"/>
      <c r="AR72" s="184">
        <v>0</v>
      </c>
    </row>
    <row r="73" ht="17.25" hidden="1" customHeight="1">
      <c r="E73" s="291" t="s">
        <v>217</v>
      </c>
      <c r="F73" s="291"/>
      <c r="G73" s="292"/>
      <c r="H73" s="292"/>
      <c r="I73" s="292"/>
      <c r="J73" s="292"/>
      <c r="K73" s="292"/>
      <c r="L73" s="292"/>
      <c r="M73" s="292"/>
      <c r="N73" s="292"/>
      <c r="O73" s="292"/>
      <c r="P73" s="292"/>
      <c r="Q73" s="292"/>
      <c r="R73" s="292"/>
      <c r="S73" s="292"/>
      <c r="T73" s="292"/>
      <c r="U73" s="292"/>
      <c r="V73" s="292"/>
      <c r="W73" s="292"/>
      <c r="AR73" s="184">
        <v>0</v>
      </c>
    </row>
    <row r="74" ht="15" hidden="1" customHeight="1">
      <c r="E74" s="290"/>
      <c r="F74" s="290"/>
      <c r="G74" s="293"/>
      <c r="H74" s="293"/>
      <c r="I74" s="293"/>
      <c r="J74" s="293"/>
      <c r="K74" s="293"/>
      <c r="L74" s="293"/>
      <c r="M74" s="293"/>
      <c r="N74" s="293"/>
      <c r="O74" s="293"/>
      <c r="P74" s="293"/>
      <c r="Q74" s="293"/>
      <c r="R74" s="293"/>
      <c r="S74" s="293"/>
      <c r="T74" s="293"/>
      <c r="U74" s="293"/>
      <c r="V74" s="293"/>
      <c r="W74" s="293"/>
      <c r="AR74" s="184">
        <v>0</v>
      </c>
    </row>
    <row r="75" ht="15" hidden="1" customHeight="1">
      <c r="E75" s="290" t="s">
        <v>218</v>
      </c>
      <c r="F75" s="290"/>
      <c r="G75" s="290"/>
      <c r="H75" s="290"/>
      <c r="I75" s="290"/>
      <c r="J75" s="290"/>
      <c r="K75" s="290"/>
      <c r="L75" s="290"/>
      <c r="M75" s="290"/>
      <c r="N75" s="290"/>
      <c r="O75" s="290"/>
      <c r="P75" s="290"/>
      <c r="Q75" s="290"/>
      <c r="R75" s="290"/>
      <c r="S75" s="290"/>
      <c r="T75" s="290"/>
      <c r="U75" s="290"/>
      <c r="V75" s="290"/>
      <c r="W75" s="290"/>
      <c r="AR75" s="184">
        <v>0</v>
      </c>
    </row>
    <row r="76" ht="17.25" hidden="1" customHeight="1">
      <c r="E76" s="291" t="s">
        <v>219</v>
      </c>
      <c r="F76" s="291"/>
      <c r="G76" s="292"/>
      <c r="H76" s="292"/>
      <c r="I76" s="292"/>
      <c r="J76" s="292"/>
      <c r="K76" s="292"/>
      <c r="L76" s="292"/>
      <c r="M76" s="292"/>
      <c r="N76" s="292"/>
      <c r="O76" s="292"/>
      <c r="P76" s="292"/>
      <c r="Q76" s="292"/>
      <c r="R76" s="292"/>
      <c r="S76" s="292"/>
      <c r="T76" s="292"/>
      <c r="U76" s="292"/>
      <c r="V76" s="292"/>
      <c r="W76" s="292"/>
      <c r="AR76" s="184">
        <v>0</v>
      </c>
    </row>
    <row r="77" ht="17.25" hidden="1" customHeight="1">
      <c r="E77" s="291" t="s">
        <v>220</v>
      </c>
      <c r="F77" s="291"/>
      <c r="G77" s="292"/>
      <c r="H77" s="292"/>
      <c r="I77" s="292"/>
      <c r="J77" s="292"/>
      <c r="K77" s="292"/>
      <c r="L77" s="292"/>
      <c r="M77" s="292"/>
      <c r="N77" s="292"/>
      <c r="O77" s="292"/>
      <c r="P77" s="292"/>
      <c r="Q77" s="292"/>
      <c r="R77" s="292"/>
      <c r="S77" s="292"/>
      <c r="T77" s="292"/>
      <c r="U77" s="292"/>
      <c r="V77" s="292"/>
      <c r="W77" s="292"/>
      <c r="AR77" s="184">
        <v>0</v>
      </c>
    </row>
    <row r="78" s="184" customFormat="1" ht="11.25" hidden="1" customHeight="1">
      <c r="A78" s="129"/>
      <c r="B78" s="129"/>
      <c r="Y78" s="106"/>
      <c r="Z78" s="106"/>
      <c r="AA78" s="106"/>
      <c r="AB78" s="106"/>
      <c r="AC78" s="106"/>
      <c r="AD78" s="106"/>
      <c r="AE78" s="106"/>
      <c r="AF78" s="106"/>
      <c r="AG78" s="106"/>
      <c r="AH78" s="106"/>
      <c r="AI78" s="106"/>
      <c r="AJ78" s="106"/>
      <c r="AK78" s="106"/>
      <c r="AL78" s="106"/>
      <c r="AM78" s="106"/>
      <c r="AN78" s="106"/>
      <c r="AO78" s="106"/>
      <c r="AP78" s="106"/>
      <c r="AQ78" s="106"/>
      <c r="AR78" s="184">
        <v>0</v>
      </c>
    </row>
    <row r="79" s="184" customFormat="1" ht="17.25" customHeight="1">
      <c r="A79" s="253"/>
      <c r="C79" s="128"/>
      <c r="D79" s="254">
        <v>1</v>
      </c>
      <c r="E79" s="255" t="s">
        <v>221</v>
      </c>
      <c r="F79" s="256" t="s">
        <v>19</v>
      </c>
      <c r="G79" s="255"/>
      <c r="H79" s="257"/>
      <c r="I79" s="258"/>
      <c r="J79" s="259"/>
      <c r="K79" s="260"/>
      <c r="L79" s="260"/>
      <c r="M79" s="260"/>
      <c r="N79" s="261"/>
      <c r="O79" s="260"/>
      <c r="P79" s="260"/>
      <c r="Q79" s="260"/>
      <c r="R79" s="262"/>
      <c r="S79" s="260"/>
      <c r="T79" s="260"/>
      <c r="U79" s="260"/>
      <c r="V79" s="262"/>
      <c r="W79" s="263"/>
      <c r="Y79" s="264"/>
      <c r="Z79" s="264"/>
      <c r="AA79" s="264"/>
      <c r="AB79" s="264"/>
      <c r="AC79" s="264" t="s">
        <v>222</v>
      </c>
      <c r="AD79" s="264" t="s">
        <v>223</v>
      </c>
      <c r="AE79" s="264" t="s">
        <v>224</v>
      </c>
      <c r="AF79" s="264" t="s">
        <v>225</v>
      </c>
      <c r="AG79" s="264"/>
      <c r="AH79" s="264" t="str">
        <f>IF($E$79=0,"",$E$79)</f>
        <v xml:space="preserve">Тариф на питьевую воду (питьевое водоснабжение)</v>
      </c>
      <c r="AI79" s="264" t="str">
        <f>IF($G$79=0,"",$G$79)</f>
        <v/>
      </c>
      <c r="AJ79" s="264" t="str">
        <f>IF($J$79=0,"",$J$79)</f>
        <v/>
      </c>
      <c r="AK79" s="264" t="str">
        <f>IF($K$79="нет","без дифференциации",IF($N$79=0,"",$N$79))</f>
        <v/>
      </c>
      <c r="AL79" s="264" t="str">
        <f>IF($O$79="нет","без дифференциации",IF($R$79=0,"",$R$79))</f>
        <v/>
      </c>
      <c r="AM79" s="264" t="str">
        <f>IF($S$79="нет","без дифференциации",IF($V$79=0,"",$V$79))</f>
        <v/>
      </c>
      <c r="AN79" s="264">
        <f>$I$79</f>
        <v>0</v>
      </c>
      <c r="AO79" s="264" t="str">
        <f>$I$79&amp;"."&amp;$M$79</f>
        <v>.</v>
      </c>
      <c r="AP79" s="264" t="str">
        <f>$I$79&amp;"."&amp;$M$79&amp;"."&amp;$Q$79</f>
        <v>..</v>
      </c>
      <c r="AQ79" s="264" t="str">
        <f>$I$79&amp;"."&amp;$M$79&amp;"."&amp;$Q$79&amp;"."&amp;$U$79</f>
        <v>...</v>
      </c>
      <c r="AR79" s="184">
        <v>0</v>
      </c>
    </row>
    <row r="80" s="184" customFormat="1" ht="17.25" customHeight="1">
      <c r="A80" s="253"/>
      <c r="C80" s="184"/>
      <c r="D80" s="254"/>
      <c r="E80" s="255"/>
      <c r="F80" s="265"/>
      <c r="G80" s="255"/>
      <c r="H80" s="266"/>
      <c r="I80" s="267"/>
      <c r="J80" s="268"/>
      <c r="K80" s="125"/>
      <c r="L80" s="125"/>
      <c r="M80" s="125"/>
      <c r="N80" s="269"/>
      <c r="O80" s="125"/>
      <c r="P80" s="125"/>
      <c r="Q80" s="125"/>
      <c r="R80" s="270"/>
      <c r="S80" s="125"/>
      <c r="T80" s="271"/>
      <c r="U80" s="271"/>
      <c r="V80" s="271"/>
      <c r="W80" s="272"/>
      <c r="Y80" s="106"/>
      <c r="Z80" s="106"/>
      <c r="AA80" s="106"/>
      <c r="AB80" s="106"/>
      <c r="AC80" s="106"/>
      <c r="AD80" s="106"/>
      <c r="AE80" s="106"/>
      <c r="AF80" s="106"/>
      <c r="AG80" s="106"/>
      <c r="AH80" s="106"/>
      <c r="AI80" s="106"/>
      <c r="AJ80" s="106"/>
      <c r="AK80" s="106"/>
      <c r="AL80" s="106"/>
      <c r="AM80" s="106"/>
      <c r="AN80" s="106"/>
      <c r="AO80" s="106"/>
      <c r="AP80" s="106"/>
      <c r="AQ80" s="106"/>
      <c r="AR80" s="184">
        <v>0</v>
      </c>
    </row>
    <row r="81" s="184" customFormat="1" ht="17.25" customHeight="1">
      <c r="A81" s="253"/>
      <c r="C81" s="128"/>
      <c r="D81" s="254"/>
      <c r="E81" s="255"/>
      <c r="F81" s="265"/>
      <c r="G81" s="255"/>
      <c r="H81" s="266"/>
      <c r="I81" s="267"/>
      <c r="J81" s="273"/>
      <c r="K81" s="125"/>
      <c r="L81" s="125"/>
      <c r="M81" s="125"/>
      <c r="N81" s="270"/>
      <c r="O81" s="125"/>
      <c r="P81" s="125"/>
      <c r="Q81" s="271"/>
      <c r="R81" s="271"/>
      <c r="S81" s="184"/>
      <c r="T81" s="184"/>
      <c r="U81" s="184"/>
      <c r="V81" s="184"/>
      <c r="W81" s="272"/>
      <c r="Y81" s="264"/>
      <c r="Z81" s="264"/>
      <c r="AA81" s="264"/>
      <c r="AB81" s="264"/>
      <c r="AC81" s="264"/>
      <c r="AD81" s="264"/>
      <c r="AE81" s="264"/>
      <c r="AF81" s="264"/>
      <c r="AG81" s="264"/>
      <c r="AH81" s="264"/>
      <c r="AI81" s="264"/>
      <c r="AJ81" s="264"/>
      <c r="AK81" s="264"/>
      <c r="AL81" s="264"/>
      <c r="AM81" s="264"/>
      <c r="AN81" s="264"/>
      <c r="AO81" s="264"/>
      <c r="AP81" s="264"/>
      <c r="AQ81" s="264"/>
      <c r="AR81" s="184">
        <v>0</v>
      </c>
    </row>
    <row r="82" s="184" customFormat="1" ht="17.25" customHeight="1">
      <c r="A82" s="253"/>
      <c r="C82" s="184"/>
      <c r="D82" s="254"/>
      <c r="E82" s="255"/>
      <c r="F82" s="265"/>
      <c r="G82" s="255"/>
      <c r="H82" s="266"/>
      <c r="I82" s="267"/>
      <c r="J82" s="273"/>
      <c r="K82" s="125"/>
      <c r="L82" s="271"/>
      <c r="M82" s="271"/>
      <c r="N82" s="271"/>
      <c r="O82" s="271"/>
      <c r="P82" s="271"/>
      <c r="Q82" s="271"/>
      <c r="R82" s="271"/>
      <c r="S82" s="184"/>
      <c r="T82" s="184"/>
      <c r="U82" s="184"/>
      <c r="V82" s="184"/>
      <c r="W82" s="272"/>
      <c r="Y82" s="106"/>
      <c r="Z82" s="106"/>
      <c r="AA82" s="106"/>
      <c r="AB82" s="106"/>
      <c r="AC82" s="106"/>
      <c r="AD82" s="106"/>
      <c r="AE82" s="106"/>
      <c r="AF82" s="106"/>
      <c r="AG82" s="106"/>
      <c r="AH82" s="106"/>
      <c r="AI82" s="106"/>
      <c r="AJ82" s="106"/>
      <c r="AK82" s="106"/>
      <c r="AL82" s="106"/>
      <c r="AM82" s="106"/>
      <c r="AN82" s="106"/>
      <c r="AO82" s="106"/>
      <c r="AP82" s="106"/>
      <c r="AQ82" s="106"/>
      <c r="AR82" s="184">
        <v>0</v>
      </c>
    </row>
    <row r="83" s="184" customFormat="1" ht="17.25" customHeight="1">
      <c r="A83" s="253"/>
      <c r="C83" s="184"/>
      <c r="D83" s="274"/>
      <c r="E83" s="275"/>
      <c r="F83" s="276"/>
      <c r="G83" s="275"/>
      <c r="H83" s="277"/>
      <c r="I83" s="278"/>
      <c r="J83" s="278"/>
      <c r="K83" s="278"/>
      <c r="L83" s="278"/>
      <c r="M83" s="278"/>
      <c r="N83" s="278"/>
      <c r="O83" s="278"/>
      <c r="P83" s="278"/>
      <c r="Q83" s="278"/>
      <c r="R83" s="278"/>
      <c r="S83" s="279"/>
      <c r="T83" s="279"/>
      <c r="U83" s="279"/>
      <c r="V83" s="279"/>
      <c r="W83" s="280"/>
      <c r="Y83" s="106"/>
      <c r="Z83" s="106"/>
      <c r="AA83" s="106"/>
      <c r="AB83" s="106"/>
      <c r="AC83" s="106"/>
      <c r="AD83" s="106"/>
      <c r="AE83" s="106"/>
      <c r="AF83" s="106"/>
      <c r="AG83" s="106"/>
      <c r="AH83" s="106"/>
      <c r="AI83" s="106"/>
      <c r="AJ83" s="106"/>
      <c r="AK83" s="106"/>
      <c r="AL83" s="106"/>
      <c r="AM83" s="106"/>
      <c r="AN83" s="106"/>
      <c r="AO83" s="106"/>
      <c r="AP83" s="106"/>
      <c r="AQ83" s="106"/>
      <c r="AR83" s="184">
        <v>0</v>
      </c>
    </row>
    <row r="84" s="184" customFormat="1" ht="17.25" customHeight="1">
      <c r="A84" s="253"/>
      <c r="C84" s="128"/>
      <c r="D84" s="254">
        <v>2</v>
      </c>
      <c r="E84" s="255" t="s">
        <v>226</v>
      </c>
      <c r="F84" s="256" t="s">
        <v>19</v>
      </c>
      <c r="G84" s="255"/>
      <c r="H84" s="257"/>
      <c r="I84" s="258"/>
      <c r="J84" s="259"/>
      <c r="K84" s="260"/>
      <c r="L84" s="260"/>
      <c r="M84" s="260"/>
      <c r="N84" s="261"/>
      <c r="O84" s="260"/>
      <c r="P84" s="260"/>
      <c r="Q84" s="260"/>
      <c r="R84" s="262"/>
      <c r="S84" s="260"/>
      <c r="T84" s="260"/>
      <c r="U84" s="260"/>
      <c r="V84" s="262"/>
      <c r="W84" s="263"/>
      <c r="X84" s="264"/>
      <c r="Y84" s="264"/>
      <c r="Z84" s="264"/>
      <c r="AA84" s="264"/>
      <c r="AB84" s="264"/>
      <c r="AC84" s="264" t="s">
        <v>227</v>
      </c>
      <c r="AD84" s="264" t="s">
        <v>228</v>
      </c>
      <c r="AE84" s="264" t="s">
        <v>229</v>
      </c>
      <c r="AF84" s="264" t="s">
        <v>230</v>
      </c>
      <c r="AG84" s="264"/>
      <c r="AH84" s="264" t="str">
        <f>IF($E$84=0,"",$E$84)</f>
        <v xml:space="preserve">Тариф на техническую воду</v>
      </c>
      <c r="AI84" s="264" t="str">
        <f>IF($G$84=0,"",$G$84)</f>
        <v/>
      </c>
      <c r="AJ84" s="264" t="str">
        <f>IF($J$84=0,"",$J$84)</f>
        <v/>
      </c>
      <c r="AK84" s="264" t="str">
        <f>IF($K$84="нет","без дифференциации",IF($N$84=0,"",$N$84))</f>
        <v/>
      </c>
      <c r="AL84" s="264" t="str">
        <f>IF($O$84="нет","без дифференциации",IF($R$84=0,"",$R$84))</f>
        <v/>
      </c>
      <c r="AM84" s="264" t="str">
        <f>IF($S$84="нет","без дифференциации",IF($V$84=0,"",$V$84))</f>
        <v/>
      </c>
      <c r="AN84" s="282">
        <f>$I$84</f>
        <v>0</v>
      </c>
      <c r="AO84" s="264" t="str">
        <f>$I$84&amp;"."&amp;$M$84</f>
        <v>.</v>
      </c>
      <c r="AP84" s="106" t="str">
        <f>$I$84&amp;"."&amp;$M$84&amp;"."&amp;$Q$84</f>
        <v>..</v>
      </c>
      <c r="AQ84" s="106" t="str">
        <f>$I$84&amp;"."&amp;$M$84&amp;"."&amp;$Q$84&amp;"."&amp;$U$84</f>
        <v>...</v>
      </c>
      <c r="AR84" s="184">
        <v>0</v>
      </c>
    </row>
    <row r="85" s="184" customFormat="1" ht="17.25" customHeight="1">
      <c r="A85" s="253"/>
      <c r="C85" s="184"/>
      <c r="D85" s="254"/>
      <c r="E85" s="255"/>
      <c r="F85" s="265"/>
      <c r="G85" s="255"/>
      <c r="H85" s="266"/>
      <c r="I85" s="267"/>
      <c r="J85" s="268"/>
      <c r="K85" s="125"/>
      <c r="L85" s="125"/>
      <c r="M85" s="125"/>
      <c r="N85" s="269"/>
      <c r="O85" s="125"/>
      <c r="P85" s="125"/>
      <c r="Q85" s="125"/>
      <c r="R85" s="270"/>
      <c r="S85" s="125"/>
      <c r="T85" s="271"/>
      <c r="U85" s="271"/>
      <c r="V85" s="271"/>
      <c r="W85" s="272"/>
      <c r="X85" s="106"/>
      <c r="Y85" s="106"/>
      <c r="Z85" s="106"/>
      <c r="AA85" s="106"/>
      <c r="AB85" s="106"/>
      <c r="AC85" s="106"/>
      <c r="AD85" s="106"/>
      <c r="AE85" s="106"/>
      <c r="AF85" s="106"/>
      <c r="AG85" s="106"/>
      <c r="AH85" s="106"/>
      <c r="AI85" s="106"/>
      <c r="AJ85" s="106"/>
      <c r="AK85" s="106"/>
      <c r="AL85" s="106"/>
      <c r="AM85" s="106"/>
      <c r="AN85" s="106"/>
      <c r="AO85" s="106"/>
      <c r="AP85" s="106"/>
      <c r="AQ85" s="106"/>
      <c r="AR85" s="184">
        <v>0</v>
      </c>
    </row>
    <row r="86" s="184" customFormat="1" ht="17.25" customHeight="1">
      <c r="A86" s="253"/>
      <c r="C86" s="184"/>
      <c r="D86" s="274"/>
      <c r="E86" s="275"/>
      <c r="F86" s="265"/>
      <c r="G86" s="275"/>
      <c r="H86" s="266"/>
      <c r="I86" s="267"/>
      <c r="J86" s="273"/>
      <c r="K86" s="125"/>
      <c r="L86" s="125"/>
      <c r="M86" s="125"/>
      <c r="N86" s="270"/>
      <c r="O86" s="125"/>
      <c r="P86" s="125"/>
      <c r="Q86" s="271"/>
      <c r="R86" s="271"/>
      <c r="S86" s="184"/>
      <c r="T86" s="184"/>
      <c r="U86" s="184"/>
      <c r="V86" s="184"/>
      <c r="W86" s="272"/>
      <c r="X86" s="106"/>
      <c r="Y86" s="106"/>
      <c r="Z86" s="106"/>
      <c r="AA86" s="106"/>
      <c r="AB86" s="106"/>
      <c r="AC86" s="106"/>
      <c r="AD86" s="106"/>
      <c r="AE86" s="106"/>
      <c r="AF86" s="106"/>
      <c r="AG86" s="106"/>
      <c r="AH86" s="106"/>
      <c r="AI86" s="106"/>
      <c r="AJ86" s="106"/>
      <c r="AK86" s="106"/>
      <c r="AL86" s="106"/>
      <c r="AM86" s="106"/>
      <c r="AN86" s="106"/>
      <c r="AO86" s="106"/>
      <c r="AP86" s="106"/>
      <c r="AQ86" s="106"/>
      <c r="AR86" s="184">
        <v>0</v>
      </c>
    </row>
    <row r="87" s="184" customFormat="1" ht="17.25" customHeight="1">
      <c r="A87" s="253"/>
      <c r="C87" s="184"/>
      <c r="D87" s="274"/>
      <c r="E87" s="275"/>
      <c r="F87" s="265"/>
      <c r="G87" s="275"/>
      <c r="H87" s="266"/>
      <c r="I87" s="267"/>
      <c r="J87" s="273"/>
      <c r="K87" s="125"/>
      <c r="L87" s="271"/>
      <c r="M87" s="271"/>
      <c r="N87" s="271"/>
      <c r="O87" s="271"/>
      <c r="P87" s="271"/>
      <c r="Q87" s="271"/>
      <c r="R87" s="271"/>
      <c r="S87" s="184"/>
      <c r="T87" s="184"/>
      <c r="U87" s="184"/>
      <c r="V87" s="184"/>
      <c r="W87" s="272"/>
      <c r="X87" s="106"/>
      <c r="Y87" s="106"/>
      <c r="Z87" s="106"/>
      <c r="AA87" s="106"/>
      <c r="AB87" s="106"/>
      <c r="AC87" s="106"/>
      <c r="AD87" s="106"/>
      <c r="AE87" s="106"/>
      <c r="AF87" s="106"/>
      <c r="AG87" s="106"/>
      <c r="AH87" s="106"/>
      <c r="AI87" s="106"/>
      <c r="AJ87" s="106"/>
      <c r="AK87" s="106"/>
      <c r="AL87" s="106"/>
      <c r="AM87" s="106"/>
      <c r="AN87" s="106"/>
      <c r="AO87" s="106"/>
      <c r="AP87" s="106"/>
      <c r="AQ87" s="106"/>
      <c r="AR87" s="184">
        <v>0</v>
      </c>
    </row>
    <row r="88" s="184" customFormat="1" ht="17.25" customHeight="1">
      <c r="A88" s="253"/>
      <c r="C88" s="184"/>
      <c r="D88" s="274"/>
      <c r="E88" s="275"/>
      <c r="F88" s="276"/>
      <c r="G88" s="275"/>
      <c r="H88" s="277"/>
      <c r="I88" s="278"/>
      <c r="J88" s="278"/>
      <c r="K88" s="278"/>
      <c r="L88" s="278"/>
      <c r="M88" s="278"/>
      <c r="N88" s="278"/>
      <c r="O88" s="278"/>
      <c r="P88" s="278"/>
      <c r="Q88" s="278"/>
      <c r="R88" s="278"/>
      <c r="S88" s="279"/>
      <c r="T88" s="279"/>
      <c r="U88" s="279"/>
      <c r="V88" s="279"/>
      <c r="W88" s="280"/>
      <c r="X88" s="106"/>
      <c r="Y88" s="106"/>
      <c r="Z88" s="106"/>
      <c r="AA88" s="106"/>
      <c r="AB88" s="106"/>
      <c r="AC88" s="106"/>
      <c r="AD88" s="106"/>
      <c r="AE88" s="106"/>
      <c r="AF88" s="106"/>
      <c r="AG88" s="106"/>
      <c r="AH88" s="106"/>
      <c r="AI88" s="106"/>
      <c r="AJ88" s="106"/>
      <c r="AK88" s="106"/>
      <c r="AL88" s="106"/>
      <c r="AM88" s="106"/>
      <c r="AN88" s="106"/>
      <c r="AO88" s="106"/>
      <c r="AP88" s="106"/>
      <c r="AQ88" s="106"/>
      <c r="AR88" s="184">
        <v>0</v>
      </c>
    </row>
    <row r="89" s="184" customFormat="1" ht="17.25" customHeight="1">
      <c r="A89" s="253"/>
      <c r="C89" s="128"/>
      <c r="D89" s="254">
        <v>3</v>
      </c>
      <c r="E89" s="255" t="s">
        <v>231</v>
      </c>
      <c r="F89" s="256" t="s">
        <v>66</v>
      </c>
      <c r="G89" s="294" t="str">
        <f>INDEX(VD_NAME_LIST,MATCH("4189674",VD_ID_LIST,0))</f>
        <v xml:space="preserve">Транспортировка. Питьевая вода</v>
      </c>
      <c r="H89" s="250"/>
      <c r="I89" s="250">
        <v>1</v>
      </c>
      <c r="J89" s="295" t="s">
        <v>232</v>
      </c>
      <c r="K89" s="296" t="s">
        <v>19</v>
      </c>
      <c r="L89" s="218"/>
      <c r="M89" s="218" t="s">
        <v>109</v>
      </c>
      <c r="N89" s="297" t="s">
        <v>28</v>
      </c>
      <c r="O89" s="296" t="s">
        <v>19</v>
      </c>
      <c r="P89" s="218"/>
      <c r="Q89" s="218" t="s">
        <v>109</v>
      </c>
      <c r="R89" s="298" t="s">
        <v>28</v>
      </c>
      <c r="S89" s="299" t="s">
        <v>19</v>
      </c>
      <c r="T89" s="299"/>
      <c r="U89" s="299" t="s">
        <v>109</v>
      </c>
      <c r="V89" s="300"/>
      <c r="W89" s="295"/>
      <c r="X89" s="264"/>
      <c r="Y89" s="264"/>
      <c r="Z89" s="264"/>
      <c r="AA89" s="264"/>
      <c r="AB89" s="264" t="s">
        <v>233</v>
      </c>
      <c r="AC89" s="264" t="s">
        <v>234</v>
      </c>
      <c r="AD89" s="264" t="s">
        <v>235</v>
      </c>
      <c r="AE89" s="264" t="s">
        <v>236</v>
      </c>
      <c r="AF89" s="264" t="s">
        <v>237</v>
      </c>
      <c r="AG89" s="264"/>
      <c r="AH89" s="264" t="str">
        <f>IF($E$89=0,"",$E$89)</f>
        <v xml:space="preserve">Тариф на транспортировку воды</v>
      </c>
      <c r="AI89" s="264" t="str">
        <f>IF($G$89=0,"",$G$89)</f>
        <v xml:space="preserve">Транспортировка. Питьевая вода</v>
      </c>
      <c r="AJ89" s="264" t="str">
        <f>IF($J$89=0,"",$J$89)</f>
        <v xml:space="preserve">Тариф на транспортировку питьевой воды</v>
      </c>
      <c r="AK89" s="264" t="str">
        <f>IF($K$89="нет","без дифференциации",IF($N$89=0,"",$N$89))</f>
        <v xml:space="preserve">без дифференциации</v>
      </c>
      <c r="AL89" s="264" t="str">
        <f>IF($O$89="нет","без дифференциации",IF($R$89=0,"",$R$89))</f>
        <v xml:space="preserve">без дифференциации</v>
      </c>
      <c r="AM89" s="264" t="str">
        <f>IF($S$89="нет","без дифференциации",IF($V$89=0,"",$V$89))</f>
        <v xml:space="preserve">без дифференциации</v>
      </c>
      <c r="AN89" s="282">
        <f>$I$89</f>
        <v>1</v>
      </c>
      <c r="AO89" s="264" t="str">
        <f>$I$89&amp;"."&amp;$M$89</f>
        <v>1.1</v>
      </c>
      <c r="AP89" s="106" t="str">
        <f>$I$89&amp;"."&amp;$M$89&amp;"."&amp;$Q$89</f>
        <v>1.1.1</v>
      </c>
      <c r="AQ89" s="106" t="str">
        <f>$I$89&amp;"."&amp;$M$89&amp;"."&amp;$Q$89&amp;"."&amp;$U$89</f>
        <v>1.1.1.1</v>
      </c>
      <c r="AR89" s="184">
        <v>0</v>
      </c>
    </row>
    <row r="90" s="184" customFormat="1" ht="17.25" customHeight="1">
      <c r="A90" s="253"/>
      <c r="C90" s="184"/>
      <c r="D90" s="254"/>
      <c r="E90" s="255"/>
      <c r="F90" s="265"/>
      <c r="G90" s="294"/>
      <c r="H90" s="250"/>
      <c r="I90" s="250"/>
      <c r="J90" s="295"/>
      <c r="K90" s="301"/>
      <c r="L90" s="218"/>
      <c r="M90" s="218"/>
      <c r="N90" s="297" t="s">
        <v>28</v>
      </c>
      <c r="O90" s="301"/>
      <c r="P90" s="218"/>
      <c r="Q90" s="218"/>
      <c r="R90" s="298" t="s">
        <v>28</v>
      </c>
      <c r="S90" s="299"/>
      <c r="T90" s="302"/>
      <c r="U90" s="303"/>
      <c r="V90" s="303"/>
      <c r="W90" s="295"/>
      <c r="X90" s="106"/>
      <c r="Y90" s="106"/>
      <c r="Z90" s="106"/>
      <c r="AA90" s="106"/>
      <c r="AB90" s="106"/>
      <c r="AC90" s="106"/>
      <c r="AD90" s="106"/>
      <c r="AE90" s="106"/>
      <c r="AF90" s="106"/>
      <c r="AG90" s="106"/>
      <c r="AH90" s="106"/>
      <c r="AI90" s="106"/>
      <c r="AJ90" s="106"/>
      <c r="AK90" s="106"/>
      <c r="AL90" s="106"/>
      <c r="AM90" s="106"/>
      <c r="AN90" s="106"/>
      <c r="AO90" s="106"/>
      <c r="AP90" s="106"/>
      <c r="AQ90" s="106"/>
      <c r="AR90" s="184">
        <v>0</v>
      </c>
    </row>
    <row r="91" s="184" customFormat="1" ht="17.25" customHeight="1">
      <c r="A91" s="253"/>
      <c r="C91" s="184"/>
      <c r="D91" s="274"/>
      <c r="E91" s="275"/>
      <c r="F91" s="265"/>
      <c r="G91" s="304"/>
      <c r="H91" s="274"/>
      <c r="I91" s="274"/>
      <c r="J91" s="305"/>
      <c r="K91" s="301"/>
      <c r="L91" s="274"/>
      <c r="M91" s="274"/>
      <c r="N91" s="298" t="s">
        <v>28</v>
      </c>
      <c r="O91" s="220"/>
      <c r="P91" s="306"/>
      <c r="Q91" s="307"/>
      <c r="R91" s="307" t="s">
        <v>238</v>
      </c>
      <c r="S91" s="308"/>
      <c r="T91" s="308"/>
      <c r="U91" s="308"/>
      <c r="V91" s="308"/>
      <c r="W91" s="309"/>
      <c r="X91" s="106"/>
      <c r="Y91" s="106"/>
      <c r="Z91" s="106"/>
      <c r="AA91" s="106"/>
      <c r="AB91" s="106"/>
      <c r="AC91" s="106"/>
      <c r="AD91" s="106"/>
      <c r="AE91" s="106"/>
      <c r="AF91" s="106"/>
      <c r="AG91" s="106"/>
      <c r="AH91" s="106"/>
      <c r="AI91" s="106"/>
      <c r="AJ91" s="106"/>
      <c r="AK91" s="106"/>
      <c r="AL91" s="106"/>
      <c r="AM91" s="106"/>
      <c r="AN91" s="106"/>
      <c r="AO91" s="106"/>
      <c r="AP91" s="106"/>
      <c r="AQ91" s="106"/>
      <c r="AR91" s="184">
        <v>0</v>
      </c>
    </row>
    <row r="92" s="184" customFormat="1" ht="17.25" customHeight="1">
      <c r="A92" s="253"/>
      <c r="C92" s="184"/>
      <c r="D92" s="274"/>
      <c r="E92" s="275"/>
      <c r="F92" s="265"/>
      <c r="G92" s="304"/>
      <c r="H92" s="274"/>
      <c r="I92" s="274"/>
      <c r="J92" s="305"/>
      <c r="K92" s="220"/>
      <c r="L92" s="306"/>
      <c r="M92" s="307"/>
      <c r="N92" s="307" t="s">
        <v>239</v>
      </c>
      <c r="O92" s="307"/>
      <c r="P92" s="307"/>
      <c r="Q92" s="307"/>
      <c r="R92" s="307"/>
      <c r="S92" s="308"/>
      <c r="T92" s="308"/>
      <c r="U92" s="308"/>
      <c r="V92" s="308"/>
      <c r="W92" s="310"/>
      <c r="X92" s="106"/>
      <c r="Y92" s="106"/>
      <c r="Z92" s="106"/>
      <c r="AA92" s="106"/>
      <c r="AB92" s="106"/>
      <c r="AC92" s="106"/>
      <c r="AD92" s="106"/>
      <c r="AE92" s="106"/>
      <c r="AF92" s="106"/>
      <c r="AG92" s="106"/>
      <c r="AH92" s="106"/>
      <c r="AI92" s="106"/>
      <c r="AJ92" s="106"/>
      <c r="AK92" s="106"/>
      <c r="AL92" s="106"/>
      <c r="AM92" s="106"/>
      <c r="AN92" s="106"/>
      <c r="AO92" s="106"/>
      <c r="AP92" s="106"/>
      <c r="AQ92" s="106"/>
      <c r="AR92" s="184">
        <v>0</v>
      </c>
    </row>
    <row r="93" s="184" customFormat="1" ht="17.25" customHeight="1">
      <c r="A93" s="253"/>
      <c r="C93" s="184"/>
      <c r="D93" s="274"/>
      <c r="E93" s="275"/>
      <c r="F93" s="276"/>
      <c r="G93" s="304"/>
      <c r="H93" s="306"/>
      <c r="I93" s="307"/>
      <c r="J93" s="307" t="s">
        <v>240</v>
      </c>
      <c r="K93" s="307"/>
      <c r="L93" s="307"/>
      <c r="M93" s="307"/>
      <c r="N93" s="307"/>
      <c r="O93" s="307"/>
      <c r="P93" s="307"/>
      <c r="Q93" s="307"/>
      <c r="R93" s="307"/>
      <c r="S93" s="308"/>
      <c r="T93" s="308"/>
      <c r="U93" s="308"/>
      <c r="V93" s="308"/>
      <c r="W93" s="310"/>
      <c r="X93" s="106"/>
      <c r="Y93" s="106"/>
      <c r="Z93" s="106"/>
      <c r="AA93" s="106"/>
      <c r="AB93" s="106"/>
      <c r="AC93" s="106"/>
      <c r="AD93" s="106"/>
      <c r="AE93" s="106"/>
      <c r="AF93" s="106"/>
      <c r="AG93" s="106"/>
      <c r="AH93" s="106"/>
      <c r="AI93" s="106"/>
      <c r="AJ93" s="106"/>
      <c r="AK93" s="106"/>
      <c r="AL93" s="106"/>
      <c r="AM93" s="106"/>
      <c r="AN93" s="106"/>
      <c r="AO93" s="106"/>
      <c r="AP93" s="106"/>
      <c r="AQ93" s="106"/>
      <c r="AR93" s="184">
        <v>0</v>
      </c>
    </row>
    <row r="94" s="184" customFormat="1" ht="17.25" customHeight="1">
      <c r="A94" s="253"/>
      <c r="C94" s="128"/>
      <c r="D94" s="254">
        <v>4</v>
      </c>
      <c r="E94" s="255" t="s">
        <v>241</v>
      </c>
      <c r="F94" s="256" t="s">
        <v>19</v>
      </c>
      <c r="G94" s="255"/>
      <c r="H94" s="257"/>
      <c r="I94" s="258"/>
      <c r="J94" s="259"/>
      <c r="K94" s="260"/>
      <c r="L94" s="260"/>
      <c r="M94" s="260"/>
      <c r="N94" s="261"/>
      <c r="O94" s="260"/>
      <c r="P94" s="260"/>
      <c r="Q94" s="260"/>
      <c r="R94" s="262"/>
      <c r="S94" s="260"/>
      <c r="T94" s="260"/>
      <c r="U94" s="260"/>
      <c r="V94" s="262"/>
      <c r="W94" s="263"/>
      <c r="X94" s="264"/>
      <c r="Y94" s="264"/>
      <c r="Z94" s="264"/>
      <c r="AA94" s="264"/>
      <c r="AB94" s="264"/>
      <c r="AC94" s="264" t="s">
        <v>242</v>
      </c>
      <c r="AD94" s="264" t="s">
        <v>243</v>
      </c>
      <c r="AE94" s="264" t="s">
        <v>244</v>
      </c>
      <c r="AF94" s="264" t="s">
        <v>245</v>
      </c>
      <c r="AG94" s="264"/>
      <c r="AH94" s="264" t="str">
        <f>IF($E$94=0,"",$E$94)</f>
        <v xml:space="preserve">Тариф на подвоз воды</v>
      </c>
      <c r="AI94" s="264" t="str">
        <f>IF($G$94=0,"",$G$94)</f>
        <v/>
      </c>
      <c r="AJ94" s="264" t="str">
        <f>IF($J$94=0,"",$J$94)</f>
        <v/>
      </c>
      <c r="AK94" s="264" t="str">
        <f>IF($K$94="нет","без дифференциации",IF($N$94=0,"",$N$94))</f>
        <v/>
      </c>
      <c r="AL94" s="264" t="str">
        <f>IF($O$94="нет","без дифференциации",IF($R$94=0,"",$R$94))</f>
        <v/>
      </c>
      <c r="AM94" s="264" t="str">
        <f>IF($S$94="нет","без дифференциации",IF($V$94=0,"",$V$94))</f>
        <v/>
      </c>
      <c r="AN94" s="282">
        <f>$I$94</f>
        <v>0</v>
      </c>
      <c r="AO94" s="264" t="str">
        <f>$I$94&amp;"."&amp;$M$94</f>
        <v>.</v>
      </c>
      <c r="AP94" s="106" t="str">
        <f>$I$94&amp;"."&amp;$M$94&amp;"."&amp;$Q$94</f>
        <v>..</v>
      </c>
      <c r="AQ94" s="106" t="str">
        <f>$I$94&amp;"."&amp;$M$94&amp;"."&amp;$Q$94&amp;"."&amp;$U$94</f>
        <v>...</v>
      </c>
      <c r="AR94" s="184">
        <v>0</v>
      </c>
    </row>
    <row r="95" s="184" customFormat="1" ht="17.25" customHeight="1">
      <c r="A95" s="253"/>
      <c r="C95" s="184"/>
      <c r="D95" s="254"/>
      <c r="E95" s="255"/>
      <c r="F95" s="265"/>
      <c r="G95" s="255"/>
      <c r="H95" s="266"/>
      <c r="I95" s="267"/>
      <c r="J95" s="268"/>
      <c r="K95" s="125"/>
      <c r="L95" s="125"/>
      <c r="M95" s="125"/>
      <c r="N95" s="269"/>
      <c r="O95" s="125"/>
      <c r="P95" s="125"/>
      <c r="Q95" s="125"/>
      <c r="R95" s="270"/>
      <c r="S95" s="125"/>
      <c r="T95" s="271"/>
      <c r="U95" s="271"/>
      <c r="V95" s="271"/>
      <c r="W95" s="272"/>
      <c r="X95" s="106"/>
      <c r="Y95" s="106"/>
      <c r="Z95" s="106"/>
      <c r="AA95" s="106"/>
      <c r="AB95" s="106"/>
      <c r="AC95" s="106"/>
      <c r="AD95" s="106"/>
      <c r="AE95" s="106"/>
      <c r="AF95" s="106"/>
      <c r="AG95" s="106"/>
      <c r="AH95" s="106"/>
      <c r="AI95" s="106"/>
      <c r="AJ95" s="106"/>
      <c r="AK95" s="106"/>
      <c r="AL95" s="106"/>
      <c r="AM95" s="106"/>
      <c r="AN95" s="106"/>
      <c r="AO95" s="106"/>
      <c r="AP95" s="106"/>
      <c r="AQ95" s="106"/>
      <c r="AR95" s="184">
        <v>0</v>
      </c>
    </row>
    <row r="96" s="184" customFormat="1" ht="17.25" customHeight="1">
      <c r="A96" s="253"/>
      <c r="C96" s="184"/>
      <c r="D96" s="274"/>
      <c r="E96" s="275"/>
      <c r="F96" s="265"/>
      <c r="G96" s="275"/>
      <c r="H96" s="266"/>
      <c r="I96" s="267"/>
      <c r="J96" s="273"/>
      <c r="K96" s="125"/>
      <c r="L96" s="125"/>
      <c r="M96" s="125"/>
      <c r="N96" s="270"/>
      <c r="O96" s="125"/>
      <c r="P96" s="125"/>
      <c r="Q96" s="271"/>
      <c r="R96" s="271"/>
      <c r="S96" s="184"/>
      <c r="T96" s="184"/>
      <c r="U96" s="184"/>
      <c r="V96" s="184"/>
      <c r="W96" s="272"/>
      <c r="X96" s="106"/>
      <c r="Y96" s="106"/>
      <c r="Z96" s="106"/>
      <c r="AA96" s="106"/>
      <c r="AB96" s="106"/>
      <c r="AC96" s="106"/>
      <c r="AD96" s="106"/>
      <c r="AE96" s="106"/>
      <c r="AF96" s="106"/>
      <c r="AG96" s="106"/>
      <c r="AH96" s="106"/>
      <c r="AI96" s="106"/>
      <c r="AJ96" s="106"/>
      <c r="AK96" s="106"/>
      <c r="AL96" s="106"/>
      <c r="AM96" s="106"/>
      <c r="AN96" s="106"/>
      <c r="AO96" s="106"/>
      <c r="AP96" s="106"/>
      <c r="AQ96" s="106"/>
      <c r="AR96" s="184">
        <v>0</v>
      </c>
    </row>
    <row r="97" s="184" customFormat="1" ht="17.25" customHeight="1">
      <c r="A97" s="253"/>
      <c r="C97" s="184"/>
      <c r="D97" s="274"/>
      <c r="E97" s="275"/>
      <c r="F97" s="265"/>
      <c r="G97" s="275"/>
      <c r="H97" s="266"/>
      <c r="I97" s="267"/>
      <c r="J97" s="273"/>
      <c r="K97" s="125"/>
      <c r="L97" s="271"/>
      <c r="M97" s="271"/>
      <c r="N97" s="271"/>
      <c r="O97" s="271"/>
      <c r="P97" s="271"/>
      <c r="Q97" s="271"/>
      <c r="R97" s="271"/>
      <c r="S97" s="184"/>
      <c r="T97" s="184"/>
      <c r="U97" s="184"/>
      <c r="V97" s="184"/>
      <c r="W97" s="272"/>
      <c r="X97" s="106"/>
      <c r="Y97" s="106"/>
      <c r="Z97" s="106"/>
      <c r="AA97" s="106"/>
      <c r="AB97" s="106"/>
      <c r="AC97" s="106"/>
      <c r="AD97" s="106"/>
      <c r="AE97" s="106"/>
      <c r="AF97" s="106"/>
      <c r="AG97" s="106"/>
      <c r="AH97" s="106"/>
      <c r="AI97" s="106"/>
      <c r="AJ97" s="106"/>
      <c r="AK97" s="106"/>
      <c r="AL97" s="106"/>
      <c r="AM97" s="106"/>
      <c r="AN97" s="106"/>
      <c r="AO97" s="106"/>
      <c r="AP97" s="106"/>
      <c r="AQ97" s="106"/>
      <c r="AR97" s="184">
        <v>0</v>
      </c>
    </row>
    <row r="98" s="184" customFormat="1" ht="17.25" customHeight="1">
      <c r="A98" s="253"/>
      <c r="C98" s="184"/>
      <c r="D98" s="274"/>
      <c r="E98" s="275"/>
      <c r="F98" s="276"/>
      <c r="G98" s="275"/>
      <c r="H98" s="277"/>
      <c r="I98" s="278"/>
      <c r="J98" s="278"/>
      <c r="K98" s="278"/>
      <c r="L98" s="278"/>
      <c r="M98" s="278"/>
      <c r="N98" s="278"/>
      <c r="O98" s="278"/>
      <c r="P98" s="278"/>
      <c r="Q98" s="278"/>
      <c r="R98" s="278"/>
      <c r="S98" s="279"/>
      <c r="T98" s="279"/>
      <c r="U98" s="279"/>
      <c r="V98" s="279"/>
      <c r="W98" s="280"/>
      <c r="X98" s="106"/>
      <c r="Y98" s="106"/>
      <c r="Z98" s="106"/>
      <c r="AA98" s="106"/>
      <c r="AB98" s="106"/>
      <c r="AC98" s="106"/>
      <c r="AD98" s="106"/>
      <c r="AE98" s="106"/>
      <c r="AF98" s="106"/>
      <c r="AG98" s="106"/>
      <c r="AH98" s="106"/>
      <c r="AI98" s="106"/>
      <c r="AJ98" s="106"/>
      <c r="AK98" s="106"/>
      <c r="AL98" s="106"/>
      <c r="AM98" s="106"/>
      <c r="AN98" s="106"/>
      <c r="AO98" s="106"/>
      <c r="AP98" s="106"/>
      <c r="AQ98" s="106"/>
      <c r="AR98" s="184">
        <v>0</v>
      </c>
    </row>
    <row r="99" s="184" customFormat="1" ht="17.25" customHeight="1">
      <c r="A99" s="253"/>
      <c r="C99" s="128"/>
      <c r="D99" s="254">
        <v>5</v>
      </c>
      <c r="E99" s="255" t="s">
        <v>246</v>
      </c>
      <c r="F99" s="256" t="s">
        <v>19</v>
      </c>
      <c r="G99" s="255"/>
      <c r="H99" s="257"/>
      <c r="I99" s="258"/>
      <c r="J99" s="259"/>
      <c r="K99" s="260"/>
      <c r="L99" s="260"/>
      <c r="M99" s="260"/>
      <c r="N99" s="261"/>
      <c r="O99" s="260"/>
      <c r="P99" s="260"/>
      <c r="Q99" s="260"/>
      <c r="R99" s="262"/>
      <c r="S99" s="260"/>
      <c r="T99" s="260"/>
      <c r="U99" s="260"/>
      <c r="V99" s="262"/>
      <c r="W99" s="263"/>
      <c r="X99" s="264"/>
      <c r="Y99" s="264"/>
      <c r="Z99" s="264"/>
      <c r="AA99" s="264"/>
      <c r="AB99" s="264"/>
      <c r="AC99" s="264" t="s">
        <v>247</v>
      </c>
      <c r="AD99" s="264" t="s">
        <v>248</v>
      </c>
      <c r="AE99" s="264" t="s">
        <v>249</v>
      </c>
      <c r="AF99" s="264" t="s">
        <v>250</v>
      </c>
      <c r="AG99" s="264"/>
      <c r="AH99" s="264" t="str">
        <f>IF($E$99=0,"",$E$99)</f>
        <v xml:space="preserve">Тариф на подключение (технологическое присоединение) к централизованной системе холодного водоснабжения</v>
      </c>
      <c r="AI99" s="264" t="str">
        <f>IF($G$99=0,"",$G$99)</f>
        <v/>
      </c>
      <c r="AJ99" s="264" t="str">
        <f>IF($J$99=0,"",$J$99)</f>
        <v/>
      </c>
      <c r="AK99" s="264" t="str">
        <f>IF($K$99="нет","без дифференциации",IF($N$99=0,"",$N$99))</f>
        <v/>
      </c>
      <c r="AL99" s="264" t="str">
        <f>IF($O$99="нет","без дифференциации",IF($R$99=0,"",$R$99))</f>
        <v/>
      </c>
      <c r="AM99" s="264" t="str">
        <f>IF($S$99="нет","без дифференциации",IF($V$99=0,"",$V$99))</f>
        <v/>
      </c>
      <c r="AN99" s="282">
        <f>$I$99</f>
        <v>0</v>
      </c>
      <c r="AO99" s="264" t="str">
        <f>$I$99&amp;"."&amp;$M$99</f>
        <v>.</v>
      </c>
      <c r="AP99" s="106" t="str">
        <f>$I$99&amp;"."&amp;$M$99&amp;"."&amp;$Q$99</f>
        <v>..</v>
      </c>
      <c r="AQ99" s="106" t="str">
        <f>$I$99&amp;"."&amp;$M$99&amp;"."&amp;$Q$99&amp;"."&amp;$U$99</f>
        <v>...</v>
      </c>
      <c r="AR99" s="184">
        <v>0</v>
      </c>
    </row>
    <row r="100" s="184" customFormat="1" ht="17.25" customHeight="1">
      <c r="A100" s="253"/>
      <c r="C100" s="184"/>
      <c r="D100" s="254"/>
      <c r="E100" s="255"/>
      <c r="F100" s="265"/>
      <c r="G100" s="255"/>
      <c r="H100" s="266"/>
      <c r="I100" s="267"/>
      <c r="J100" s="268"/>
      <c r="K100" s="125"/>
      <c r="L100" s="125"/>
      <c r="M100" s="125"/>
      <c r="N100" s="269"/>
      <c r="O100" s="125"/>
      <c r="P100" s="125"/>
      <c r="Q100" s="125"/>
      <c r="R100" s="270"/>
      <c r="S100" s="125"/>
      <c r="T100" s="271"/>
      <c r="U100" s="271"/>
      <c r="V100" s="271"/>
      <c r="W100" s="272"/>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84">
        <v>0</v>
      </c>
    </row>
    <row r="101" s="184" customFormat="1" ht="17.25" customHeight="1">
      <c r="A101" s="253"/>
      <c r="C101" s="184"/>
      <c r="D101" s="274"/>
      <c r="E101" s="275"/>
      <c r="F101" s="265"/>
      <c r="G101" s="275"/>
      <c r="H101" s="266"/>
      <c r="I101" s="267"/>
      <c r="J101" s="273"/>
      <c r="K101" s="125"/>
      <c r="L101" s="125"/>
      <c r="M101" s="125"/>
      <c r="N101" s="270"/>
      <c r="O101" s="125"/>
      <c r="P101" s="125"/>
      <c r="Q101" s="271"/>
      <c r="R101" s="271"/>
      <c r="S101" s="184"/>
      <c r="T101" s="184"/>
      <c r="U101" s="184"/>
      <c r="V101" s="184"/>
      <c r="W101" s="272"/>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84">
        <v>0</v>
      </c>
    </row>
    <row r="102" s="184" customFormat="1" ht="17.25" customHeight="1">
      <c r="A102" s="253"/>
      <c r="C102" s="184"/>
      <c r="D102" s="274"/>
      <c r="E102" s="275"/>
      <c r="F102" s="265"/>
      <c r="G102" s="275"/>
      <c r="H102" s="266"/>
      <c r="I102" s="267"/>
      <c r="J102" s="273"/>
      <c r="K102" s="125"/>
      <c r="L102" s="271"/>
      <c r="M102" s="271"/>
      <c r="N102" s="271"/>
      <c r="O102" s="271"/>
      <c r="P102" s="271"/>
      <c r="Q102" s="271"/>
      <c r="R102" s="271"/>
      <c r="S102" s="184"/>
      <c r="T102" s="184"/>
      <c r="U102" s="184"/>
      <c r="V102" s="184"/>
      <c r="W102" s="272"/>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84">
        <v>0</v>
      </c>
    </row>
    <row r="103" s="184" customFormat="1" ht="17.25" customHeight="1">
      <c r="A103" s="253"/>
      <c r="C103" s="184"/>
      <c r="D103" s="274"/>
      <c r="E103" s="275"/>
      <c r="F103" s="276"/>
      <c r="G103" s="275"/>
      <c r="H103" s="277"/>
      <c r="I103" s="278"/>
      <c r="J103" s="278"/>
      <c r="K103" s="278"/>
      <c r="L103" s="278"/>
      <c r="M103" s="278"/>
      <c r="N103" s="278"/>
      <c r="O103" s="278"/>
      <c r="P103" s="278"/>
      <c r="Q103" s="278"/>
      <c r="R103" s="278"/>
      <c r="S103" s="279"/>
      <c r="T103" s="279"/>
      <c r="U103" s="279"/>
      <c r="V103" s="279"/>
      <c r="W103" s="280"/>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84">
        <v>0</v>
      </c>
    </row>
    <row r="104" s="184" customFormat="1" ht="11.25" hidden="1" customHeight="1">
      <c r="A104" s="129"/>
      <c r="B104" s="129"/>
      <c r="Y104" s="106"/>
      <c r="Z104" s="106"/>
      <c r="AA104" s="106"/>
      <c r="AB104" s="106"/>
      <c r="AC104" s="106"/>
      <c r="AD104" s="106"/>
      <c r="AE104" s="106"/>
      <c r="AF104" s="106"/>
      <c r="AG104" s="106"/>
      <c r="AH104" s="106"/>
      <c r="AI104" s="106"/>
      <c r="AJ104" s="106"/>
      <c r="AK104" s="106"/>
      <c r="AL104" s="106"/>
      <c r="AM104" s="106"/>
      <c r="AN104" s="106"/>
      <c r="AO104" s="106"/>
      <c r="AP104" s="106"/>
      <c r="AQ104" s="106"/>
      <c r="AR104" s="184">
        <v>0</v>
      </c>
    </row>
    <row r="105" s="184" customFormat="1" ht="17.25" hidden="1" customHeight="1">
      <c r="A105" s="253"/>
      <c r="C105" s="128"/>
      <c r="D105" s="254">
        <v>1</v>
      </c>
      <c r="E105" s="255" t="s">
        <v>251</v>
      </c>
      <c r="F105" s="256" t="s">
        <v>19</v>
      </c>
      <c r="G105" s="255"/>
      <c r="H105" s="257"/>
      <c r="I105" s="258"/>
      <c r="J105" s="259"/>
      <c r="K105" s="260"/>
      <c r="L105" s="260"/>
      <c r="M105" s="260"/>
      <c r="N105" s="261"/>
      <c r="O105" s="260"/>
      <c r="P105" s="260"/>
      <c r="Q105" s="260"/>
      <c r="R105" s="262"/>
      <c r="S105" s="260"/>
      <c r="T105" s="260"/>
      <c r="U105" s="260"/>
      <c r="V105" s="262"/>
      <c r="W105" s="263"/>
      <c r="Y105" s="264"/>
      <c r="Z105" s="264"/>
      <c r="AA105" s="264"/>
      <c r="AB105" s="264"/>
      <c r="AC105" s="264" t="s">
        <v>252</v>
      </c>
      <c r="AD105" s="264" t="s">
        <v>253</v>
      </c>
      <c r="AE105" s="264" t="s">
        <v>254</v>
      </c>
      <c r="AF105" s="264" t="s">
        <v>255</v>
      </c>
      <c r="AG105" s="264"/>
      <c r="AH105" s="264" t="str">
        <f>IF($E$105=0,"",$E$105)</f>
        <v xml:space="preserve">Тариф на горячую воду (горячее водоснабжение)</v>
      </c>
      <c r="AI105" s="264" t="str">
        <f>IF($G$105=0,"",$G$105)</f>
        <v/>
      </c>
      <c r="AJ105" s="264" t="str">
        <f>IF($J$105=0,"",$J$105)</f>
        <v/>
      </c>
      <c r="AK105" s="264" t="str">
        <f>IF($K$105="нет","без дифференциации",IF($N$105=0,"",$N$105))</f>
        <v/>
      </c>
      <c r="AL105" s="264" t="str">
        <f>IF($O$105="нет","без дифференциации",IF($R$105=0,"",$R$105))</f>
        <v/>
      </c>
      <c r="AM105" s="264" t="str">
        <f>IF($S$105="нет","без дифференциации",IF($V$105=0,"",$V$105))</f>
        <v/>
      </c>
      <c r="AN105" s="264">
        <f>$I$105</f>
        <v>0</v>
      </c>
      <c r="AO105" s="264" t="str">
        <f>$I$105&amp;"."&amp;$M$105</f>
        <v>.</v>
      </c>
      <c r="AP105" s="264" t="str">
        <f>$I$105&amp;"."&amp;$M$105&amp;"."&amp;$Q$105</f>
        <v>..</v>
      </c>
      <c r="AQ105" s="264" t="str">
        <f>$I$105&amp;"."&amp;$M$105&amp;"."&amp;$Q$105&amp;"."&amp;$U$105</f>
        <v>...</v>
      </c>
      <c r="AR105" s="184">
        <v>0</v>
      </c>
    </row>
    <row r="106" s="184" customFormat="1" ht="17.25" hidden="1" customHeight="1">
      <c r="A106" s="253"/>
      <c r="C106" s="184"/>
      <c r="D106" s="254"/>
      <c r="E106" s="255"/>
      <c r="F106" s="265"/>
      <c r="G106" s="255"/>
      <c r="H106" s="266"/>
      <c r="I106" s="267"/>
      <c r="J106" s="268"/>
      <c r="K106" s="125"/>
      <c r="L106" s="125"/>
      <c r="M106" s="125"/>
      <c r="N106" s="269"/>
      <c r="O106" s="125"/>
      <c r="P106" s="125"/>
      <c r="Q106" s="125"/>
      <c r="R106" s="270"/>
      <c r="S106" s="125"/>
      <c r="T106" s="271"/>
      <c r="U106" s="271"/>
      <c r="V106" s="271"/>
      <c r="W106" s="272"/>
      <c r="Y106" s="106"/>
      <c r="Z106" s="106"/>
      <c r="AA106" s="106"/>
      <c r="AB106" s="106"/>
      <c r="AC106" s="106"/>
      <c r="AD106" s="106"/>
      <c r="AE106" s="106"/>
      <c r="AF106" s="106"/>
      <c r="AG106" s="106"/>
      <c r="AH106" s="106"/>
      <c r="AI106" s="106"/>
      <c r="AJ106" s="106"/>
      <c r="AK106" s="106"/>
      <c r="AL106" s="106"/>
      <c r="AM106" s="106"/>
      <c r="AN106" s="106"/>
      <c r="AO106" s="106"/>
      <c r="AP106" s="106"/>
      <c r="AQ106" s="106"/>
      <c r="AR106" s="184">
        <v>0</v>
      </c>
    </row>
    <row r="107" s="184" customFormat="1" ht="17.25" hidden="1" customHeight="1">
      <c r="A107" s="253"/>
      <c r="C107" s="128"/>
      <c r="D107" s="254"/>
      <c r="E107" s="255"/>
      <c r="F107" s="265"/>
      <c r="G107" s="255"/>
      <c r="H107" s="266"/>
      <c r="I107" s="267"/>
      <c r="J107" s="273"/>
      <c r="K107" s="125"/>
      <c r="L107" s="125"/>
      <c r="M107" s="125"/>
      <c r="N107" s="270"/>
      <c r="O107" s="125"/>
      <c r="P107" s="125"/>
      <c r="Q107" s="271"/>
      <c r="R107" s="271"/>
      <c r="S107" s="184"/>
      <c r="T107" s="184"/>
      <c r="U107" s="184"/>
      <c r="V107" s="184"/>
      <c r="W107" s="272"/>
      <c r="Y107" s="264"/>
      <c r="Z107" s="264"/>
      <c r="AA107" s="264"/>
      <c r="AB107" s="264"/>
      <c r="AC107" s="264"/>
      <c r="AD107" s="264"/>
      <c r="AE107" s="264"/>
      <c r="AF107" s="264"/>
      <c r="AG107" s="264"/>
      <c r="AH107" s="264"/>
      <c r="AI107" s="264"/>
      <c r="AJ107" s="264"/>
      <c r="AK107" s="264"/>
      <c r="AL107" s="264"/>
      <c r="AM107" s="264"/>
      <c r="AN107" s="264"/>
      <c r="AO107" s="264"/>
      <c r="AP107" s="264"/>
      <c r="AQ107" s="264"/>
      <c r="AR107" s="184">
        <v>0</v>
      </c>
    </row>
    <row r="108" s="184" customFormat="1" ht="17.25" hidden="1" customHeight="1">
      <c r="A108" s="253"/>
      <c r="C108" s="184"/>
      <c r="D108" s="254"/>
      <c r="E108" s="255"/>
      <c r="F108" s="265"/>
      <c r="G108" s="255"/>
      <c r="H108" s="266"/>
      <c r="I108" s="267"/>
      <c r="J108" s="273"/>
      <c r="K108" s="125"/>
      <c r="L108" s="271"/>
      <c r="M108" s="271"/>
      <c r="N108" s="271"/>
      <c r="O108" s="271"/>
      <c r="P108" s="271"/>
      <c r="Q108" s="271"/>
      <c r="R108" s="271"/>
      <c r="S108" s="184"/>
      <c r="T108" s="184"/>
      <c r="U108" s="184"/>
      <c r="V108" s="184"/>
      <c r="W108" s="272"/>
      <c r="Y108" s="106"/>
      <c r="Z108" s="106"/>
      <c r="AA108" s="106"/>
      <c r="AB108" s="106"/>
      <c r="AC108" s="106"/>
      <c r="AD108" s="106"/>
      <c r="AE108" s="106"/>
      <c r="AF108" s="106"/>
      <c r="AG108" s="106"/>
      <c r="AH108" s="106"/>
      <c r="AI108" s="106"/>
      <c r="AJ108" s="106"/>
      <c r="AK108" s="106"/>
      <c r="AL108" s="106"/>
      <c r="AM108" s="106"/>
      <c r="AN108" s="106"/>
      <c r="AO108" s="106"/>
      <c r="AP108" s="106"/>
      <c r="AQ108" s="106"/>
      <c r="AR108" s="184">
        <v>0</v>
      </c>
    </row>
    <row r="109" s="184" customFormat="1" ht="17.25" hidden="1" customHeight="1">
      <c r="A109" s="253"/>
      <c r="C109" s="184"/>
      <c r="D109" s="274"/>
      <c r="E109" s="275"/>
      <c r="F109" s="276"/>
      <c r="G109" s="275"/>
      <c r="H109" s="277"/>
      <c r="I109" s="278"/>
      <c r="J109" s="278"/>
      <c r="K109" s="278"/>
      <c r="L109" s="278"/>
      <c r="M109" s="278"/>
      <c r="N109" s="278"/>
      <c r="O109" s="278"/>
      <c r="P109" s="278"/>
      <c r="Q109" s="278"/>
      <c r="R109" s="278"/>
      <c r="S109" s="279"/>
      <c r="T109" s="279"/>
      <c r="U109" s="279"/>
      <c r="V109" s="279"/>
      <c r="W109" s="280"/>
      <c r="Y109" s="106"/>
      <c r="Z109" s="106"/>
      <c r="AA109" s="106"/>
      <c r="AB109" s="106"/>
      <c r="AC109" s="106"/>
      <c r="AD109" s="106"/>
      <c r="AE109" s="106"/>
      <c r="AF109" s="106"/>
      <c r="AG109" s="106"/>
      <c r="AH109" s="106"/>
      <c r="AI109" s="106"/>
      <c r="AJ109" s="106"/>
      <c r="AK109" s="106"/>
      <c r="AL109" s="106"/>
      <c r="AM109" s="106"/>
      <c r="AN109" s="106"/>
      <c r="AO109" s="106"/>
      <c r="AP109" s="106"/>
      <c r="AQ109" s="106"/>
      <c r="AR109" s="184">
        <v>0</v>
      </c>
    </row>
    <row r="110" s="184" customFormat="1" ht="17.25" hidden="1" customHeight="1">
      <c r="A110" s="253"/>
      <c r="C110" s="128"/>
      <c r="D110" s="254">
        <v>2</v>
      </c>
      <c r="E110" s="255" t="s">
        <v>256</v>
      </c>
      <c r="F110" s="256" t="s">
        <v>19</v>
      </c>
      <c r="G110" s="255"/>
      <c r="H110" s="257"/>
      <c r="I110" s="258"/>
      <c r="J110" s="259"/>
      <c r="K110" s="260"/>
      <c r="L110" s="260"/>
      <c r="M110" s="260"/>
      <c r="N110" s="261"/>
      <c r="O110" s="260"/>
      <c r="P110" s="260"/>
      <c r="Q110" s="260"/>
      <c r="R110" s="262"/>
      <c r="S110" s="260"/>
      <c r="T110" s="260"/>
      <c r="U110" s="260"/>
      <c r="V110" s="262"/>
      <c r="W110" s="263"/>
      <c r="X110" s="264"/>
      <c r="Y110" s="264"/>
      <c r="Z110" s="264"/>
      <c r="AA110" s="264"/>
      <c r="AB110" s="264"/>
      <c r="AC110" s="264" t="s">
        <v>257</v>
      </c>
      <c r="AD110" s="264" t="s">
        <v>258</v>
      </c>
      <c r="AE110" s="264" t="s">
        <v>259</v>
      </c>
      <c r="AF110" s="264" t="s">
        <v>260</v>
      </c>
      <c r="AG110" s="264"/>
      <c r="AH110" s="264" t="str">
        <f>IF($E$110=0,"",$E$110)</f>
        <v xml:space="preserve">Тариф на транспортировку горячей воды</v>
      </c>
      <c r="AI110" s="264" t="str">
        <f>IF($G$110=0,"",$G$110)</f>
        <v/>
      </c>
      <c r="AJ110" s="264" t="str">
        <f>IF($J$110=0,"",$J$110)</f>
        <v/>
      </c>
      <c r="AK110" s="264" t="str">
        <f>IF($K$110="нет","без дифференциации",IF($N$110=0,"",$N$110))</f>
        <v/>
      </c>
      <c r="AL110" s="264" t="str">
        <f>IF($O$110="нет","без дифференциации",IF($R$110=0,"",$R$110))</f>
        <v/>
      </c>
      <c r="AM110" s="264" t="str">
        <f>IF($S$110="нет","без дифференциации",IF($V$110=0,"",$V$110))</f>
        <v/>
      </c>
      <c r="AN110" s="282">
        <f>$I$110</f>
        <v>0</v>
      </c>
      <c r="AO110" s="264" t="str">
        <f>$I$110&amp;"."&amp;$M$110</f>
        <v>.</v>
      </c>
      <c r="AP110" s="106" t="str">
        <f>$I$110&amp;"."&amp;$M$110&amp;"."&amp;$Q$110</f>
        <v>..</v>
      </c>
      <c r="AQ110" s="106" t="str">
        <f>$I$110&amp;"."&amp;$M$110&amp;"."&amp;$Q$110&amp;"."&amp;$U$110</f>
        <v>...</v>
      </c>
      <c r="AR110" s="184">
        <v>0</v>
      </c>
    </row>
    <row r="111" s="184" customFormat="1" ht="17.25" hidden="1" customHeight="1">
      <c r="A111" s="253"/>
      <c r="C111" s="184"/>
      <c r="D111" s="254"/>
      <c r="E111" s="255"/>
      <c r="F111" s="265"/>
      <c r="G111" s="255"/>
      <c r="H111" s="266"/>
      <c r="I111" s="267"/>
      <c r="J111" s="268"/>
      <c r="K111" s="125"/>
      <c r="L111" s="125"/>
      <c r="M111" s="125"/>
      <c r="N111" s="269"/>
      <c r="O111" s="125"/>
      <c r="P111" s="125"/>
      <c r="Q111" s="125"/>
      <c r="R111" s="270"/>
      <c r="S111" s="125"/>
      <c r="T111" s="271"/>
      <c r="U111" s="271"/>
      <c r="V111" s="271"/>
      <c r="W111" s="272"/>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84">
        <v>0</v>
      </c>
    </row>
    <row r="112" s="184" customFormat="1" ht="17.25" hidden="1" customHeight="1">
      <c r="A112" s="253"/>
      <c r="C112" s="184"/>
      <c r="D112" s="274"/>
      <c r="E112" s="275"/>
      <c r="F112" s="265"/>
      <c r="G112" s="275"/>
      <c r="H112" s="266"/>
      <c r="I112" s="267"/>
      <c r="J112" s="273"/>
      <c r="K112" s="125"/>
      <c r="L112" s="125"/>
      <c r="M112" s="125"/>
      <c r="N112" s="270"/>
      <c r="O112" s="125"/>
      <c r="P112" s="125"/>
      <c r="Q112" s="271"/>
      <c r="R112" s="271"/>
      <c r="S112" s="184"/>
      <c r="T112" s="184"/>
      <c r="U112" s="184"/>
      <c r="V112" s="184"/>
      <c r="W112" s="272"/>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84">
        <v>0</v>
      </c>
    </row>
    <row r="113" s="184" customFormat="1" ht="17.25" hidden="1" customHeight="1">
      <c r="A113" s="253"/>
      <c r="C113" s="184"/>
      <c r="D113" s="274"/>
      <c r="E113" s="275"/>
      <c r="F113" s="265"/>
      <c r="G113" s="275"/>
      <c r="H113" s="266"/>
      <c r="I113" s="267"/>
      <c r="J113" s="273"/>
      <c r="K113" s="125"/>
      <c r="L113" s="271"/>
      <c r="M113" s="271"/>
      <c r="N113" s="271"/>
      <c r="O113" s="271"/>
      <c r="P113" s="271"/>
      <c r="Q113" s="271"/>
      <c r="R113" s="271"/>
      <c r="S113" s="184"/>
      <c r="T113" s="184"/>
      <c r="U113" s="184"/>
      <c r="V113" s="184"/>
      <c r="W113" s="272"/>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84">
        <v>0</v>
      </c>
    </row>
    <row r="114" s="184" customFormat="1" ht="17.25" hidden="1" customHeight="1">
      <c r="A114" s="253"/>
      <c r="C114" s="184"/>
      <c r="D114" s="274"/>
      <c r="E114" s="275"/>
      <c r="F114" s="276"/>
      <c r="G114" s="275"/>
      <c r="H114" s="277"/>
      <c r="I114" s="278"/>
      <c r="J114" s="278"/>
      <c r="K114" s="278"/>
      <c r="L114" s="278"/>
      <c r="M114" s="278"/>
      <c r="N114" s="278"/>
      <c r="O114" s="278"/>
      <c r="P114" s="278"/>
      <c r="Q114" s="278"/>
      <c r="R114" s="278"/>
      <c r="S114" s="279"/>
      <c r="T114" s="279"/>
      <c r="U114" s="279"/>
      <c r="V114" s="279"/>
      <c r="W114" s="280"/>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84">
        <v>0</v>
      </c>
    </row>
    <row r="115" s="184" customFormat="1" ht="17.25" hidden="1" customHeight="1">
      <c r="A115" s="253"/>
      <c r="C115" s="128"/>
      <c r="D115" s="254">
        <v>3</v>
      </c>
      <c r="E115" s="255" t="s">
        <v>261</v>
      </c>
      <c r="F115" s="256" t="s">
        <v>19</v>
      </c>
      <c r="G115" s="255"/>
      <c r="H115" s="257"/>
      <c r="I115" s="258"/>
      <c r="J115" s="259"/>
      <c r="K115" s="260"/>
      <c r="L115" s="260"/>
      <c r="M115" s="260"/>
      <c r="N115" s="261"/>
      <c r="O115" s="260"/>
      <c r="P115" s="260"/>
      <c r="Q115" s="260"/>
      <c r="R115" s="262"/>
      <c r="S115" s="260"/>
      <c r="T115" s="260"/>
      <c r="U115" s="260"/>
      <c r="V115" s="262"/>
      <c r="W115" s="263"/>
      <c r="X115" s="264"/>
      <c r="Y115" s="264"/>
      <c r="Z115" s="264"/>
      <c r="AA115" s="264"/>
      <c r="AB115" s="264"/>
      <c r="AC115" s="264" t="s">
        <v>262</v>
      </c>
      <c r="AD115" s="264" t="s">
        <v>263</v>
      </c>
      <c r="AE115" s="264" t="s">
        <v>264</v>
      </c>
      <c r="AF115" s="264" t="s">
        <v>265</v>
      </c>
      <c r="AG115" s="264"/>
      <c r="AH115" s="264" t="str">
        <f>IF($E$115=0,"",$E$115)</f>
        <v xml:space="preserve">Тариф на подключение (технологическое присоединение) к централизованной системе горячего водоснабжения</v>
      </c>
      <c r="AI115" s="264" t="str">
        <f>IF($G$115=0,"",$G$115)</f>
        <v/>
      </c>
      <c r="AJ115" s="264" t="str">
        <f>IF($J$115=0,"",$J$115)</f>
        <v/>
      </c>
      <c r="AK115" s="264" t="str">
        <f>IF($K$115="нет","без дифференциации",IF($N$115=0,"",$N$115))</f>
        <v/>
      </c>
      <c r="AL115" s="264" t="str">
        <f>IF($O$115="нет","без дифференциации",IF($R$115=0,"",$R$115))</f>
        <v/>
      </c>
      <c r="AM115" s="264" t="str">
        <f>IF($S$115="нет","без дифференциации",IF($V$115=0,"",$V$115))</f>
        <v/>
      </c>
      <c r="AN115" s="282">
        <f>$I$115</f>
        <v>0</v>
      </c>
      <c r="AO115" s="264" t="str">
        <f>$I$115&amp;"."&amp;$M$115</f>
        <v>.</v>
      </c>
      <c r="AP115" s="106" t="str">
        <f>$I$115&amp;"."&amp;$M$115&amp;"."&amp;$Q$115</f>
        <v>..</v>
      </c>
      <c r="AQ115" s="106" t="str">
        <f>$I$115&amp;"."&amp;$M$115&amp;"."&amp;$Q$115&amp;"."&amp;$U$115</f>
        <v>...</v>
      </c>
      <c r="AR115" s="184">
        <v>0</v>
      </c>
    </row>
    <row r="116" s="184" customFormat="1" ht="17.25" hidden="1" customHeight="1">
      <c r="A116" s="253"/>
      <c r="C116" s="184"/>
      <c r="D116" s="254"/>
      <c r="E116" s="255"/>
      <c r="F116" s="265"/>
      <c r="G116" s="255"/>
      <c r="H116" s="266"/>
      <c r="I116" s="267"/>
      <c r="J116" s="268"/>
      <c r="K116" s="125"/>
      <c r="L116" s="125"/>
      <c r="M116" s="125"/>
      <c r="N116" s="269"/>
      <c r="O116" s="125"/>
      <c r="P116" s="125"/>
      <c r="Q116" s="125"/>
      <c r="R116" s="270"/>
      <c r="S116" s="125"/>
      <c r="T116" s="271"/>
      <c r="U116" s="271"/>
      <c r="V116" s="271"/>
      <c r="W116" s="272"/>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84">
        <v>0</v>
      </c>
    </row>
    <row r="117" s="184" customFormat="1" ht="17.25" hidden="1" customHeight="1">
      <c r="A117" s="253"/>
      <c r="C117" s="184"/>
      <c r="D117" s="274"/>
      <c r="E117" s="275"/>
      <c r="F117" s="265"/>
      <c r="G117" s="275"/>
      <c r="H117" s="266"/>
      <c r="I117" s="267"/>
      <c r="J117" s="273"/>
      <c r="K117" s="125"/>
      <c r="L117" s="125"/>
      <c r="M117" s="125"/>
      <c r="N117" s="270"/>
      <c r="O117" s="125"/>
      <c r="P117" s="125"/>
      <c r="Q117" s="271"/>
      <c r="R117" s="271"/>
      <c r="S117" s="184"/>
      <c r="T117" s="184"/>
      <c r="U117" s="184"/>
      <c r="V117" s="184"/>
      <c r="W117" s="272"/>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84">
        <v>0</v>
      </c>
    </row>
    <row r="118" s="184" customFormat="1" ht="17.25" hidden="1" customHeight="1">
      <c r="A118" s="253"/>
      <c r="C118" s="184"/>
      <c r="D118" s="274"/>
      <c r="E118" s="275"/>
      <c r="F118" s="265"/>
      <c r="G118" s="275"/>
      <c r="H118" s="266"/>
      <c r="I118" s="267"/>
      <c r="J118" s="273"/>
      <c r="K118" s="125"/>
      <c r="L118" s="271"/>
      <c r="M118" s="271"/>
      <c r="N118" s="271"/>
      <c r="O118" s="271"/>
      <c r="P118" s="271"/>
      <c r="Q118" s="271"/>
      <c r="R118" s="271"/>
      <c r="S118" s="184"/>
      <c r="T118" s="184"/>
      <c r="U118" s="184"/>
      <c r="V118" s="184"/>
      <c r="W118" s="272"/>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84">
        <v>0</v>
      </c>
    </row>
    <row r="119" s="184" customFormat="1" ht="17.25" hidden="1" customHeight="1">
      <c r="A119" s="253"/>
      <c r="C119" s="184"/>
      <c r="D119" s="274"/>
      <c r="E119" s="275"/>
      <c r="F119" s="276"/>
      <c r="G119" s="275"/>
      <c r="H119" s="277"/>
      <c r="I119" s="278"/>
      <c r="J119" s="278"/>
      <c r="K119" s="278"/>
      <c r="L119" s="278"/>
      <c r="M119" s="278"/>
      <c r="N119" s="278"/>
      <c r="O119" s="278"/>
      <c r="P119" s="278"/>
      <c r="Q119" s="278"/>
      <c r="R119" s="278"/>
      <c r="S119" s="279"/>
      <c r="T119" s="279"/>
      <c r="U119" s="279"/>
      <c r="V119" s="279"/>
      <c r="W119" s="280"/>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84">
        <v>0</v>
      </c>
    </row>
    <row r="120" s="184" customFormat="1" ht="11.25" hidden="1" customHeight="1">
      <c r="A120" s="129"/>
      <c r="B120" s="129"/>
      <c r="Y120" s="106"/>
      <c r="Z120" s="106"/>
      <c r="AA120" s="106"/>
      <c r="AB120" s="106"/>
      <c r="AC120" s="106"/>
      <c r="AD120" s="106"/>
      <c r="AE120" s="106"/>
      <c r="AF120" s="106"/>
      <c r="AG120" s="106"/>
      <c r="AH120" s="106"/>
      <c r="AI120" s="106"/>
      <c r="AJ120" s="106"/>
      <c r="AK120" s="106"/>
      <c r="AL120" s="106"/>
      <c r="AM120" s="106"/>
      <c r="AN120" s="106"/>
      <c r="AO120" s="106"/>
      <c r="AP120" s="106"/>
      <c r="AQ120" s="106"/>
      <c r="AR120" s="184">
        <v>0</v>
      </c>
    </row>
    <row r="121" s="184" customFormat="1" ht="17.25" hidden="1" customHeight="1">
      <c r="A121" s="253"/>
      <c r="C121" s="128"/>
      <c r="D121" s="254">
        <v>1</v>
      </c>
      <c r="E121" s="255" t="s">
        <v>266</v>
      </c>
      <c r="F121" s="256" t="s">
        <v>19</v>
      </c>
      <c r="G121" s="255"/>
      <c r="H121" s="257"/>
      <c r="I121" s="258"/>
      <c r="J121" s="259"/>
      <c r="K121" s="260"/>
      <c r="L121" s="260"/>
      <c r="M121" s="260"/>
      <c r="N121" s="261"/>
      <c r="O121" s="260"/>
      <c r="P121" s="260"/>
      <c r="Q121" s="260"/>
      <c r="R121" s="262"/>
      <c r="S121" s="260"/>
      <c r="T121" s="260"/>
      <c r="U121" s="260"/>
      <c r="V121" s="262"/>
      <c r="W121" s="263"/>
      <c r="Y121" s="264"/>
      <c r="Z121" s="264"/>
      <c r="AA121" s="264"/>
      <c r="AB121" s="264"/>
      <c r="AC121" s="264" t="s">
        <v>267</v>
      </c>
      <c r="AD121" s="264" t="s">
        <v>268</v>
      </c>
      <c r="AE121" s="264" t="s">
        <v>269</v>
      </c>
      <c r="AF121" s="264" t="s">
        <v>270</v>
      </c>
      <c r="AG121" s="264"/>
      <c r="AH121" s="264" t="str">
        <f>IF($E$121=0,"",$E$121)</f>
        <v xml:space="preserve">Тариф на водоотведение</v>
      </c>
      <c r="AI121" s="264" t="str">
        <f>IF($G$121=0,"",$G$121)</f>
        <v/>
      </c>
      <c r="AJ121" s="264" t="str">
        <f>IF($J$121=0,"",$J$121)</f>
        <v/>
      </c>
      <c r="AK121" s="264" t="str">
        <f>IF($K$121="нет","без дифференциации",IF($N$121=0,"",$N$121))</f>
        <v/>
      </c>
      <c r="AL121" s="264" t="str">
        <f>IF($O$121="нет","без дифференциации",IF($R$121=0,"",$R$121))</f>
        <v/>
      </c>
      <c r="AM121" s="264" t="str">
        <f>IF($S$121="нет","без дифференциации",IF($V$121=0,"",$V$121))</f>
        <v/>
      </c>
      <c r="AN121" s="264">
        <f>$I$121</f>
        <v>0</v>
      </c>
      <c r="AO121" s="264" t="str">
        <f>$I$121&amp;"."&amp;$M$121</f>
        <v>.</v>
      </c>
      <c r="AP121" s="264" t="str">
        <f>$I$121&amp;"."&amp;$M$121&amp;"."&amp;$Q$121</f>
        <v>..</v>
      </c>
      <c r="AQ121" s="264" t="str">
        <f>$I$121&amp;"."&amp;$M$121&amp;"."&amp;$Q$121&amp;"."&amp;$U$121</f>
        <v>...</v>
      </c>
      <c r="AR121" s="184">
        <v>0</v>
      </c>
    </row>
    <row r="122" s="184" customFormat="1" ht="17.25" hidden="1" customHeight="1">
      <c r="A122" s="253"/>
      <c r="C122" s="184"/>
      <c r="D122" s="254"/>
      <c r="E122" s="255"/>
      <c r="F122" s="265"/>
      <c r="G122" s="255"/>
      <c r="H122" s="266"/>
      <c r="I122" s="267"/>
      <c r="J122" s="268"/>
      <c r="K122" s="125"/>
      <c r="L122" s="125"/>
      <c r="M122" s="125"/>
      <c r="N122" s="269"/>
      <c r="O122" s="125"/>
      <c r="P122" s="125"/>
      <c r="Q122" s="125"/>
      <c r="R122" s="270"/>
      <c r="S122" s="125"/>
      <c r="T122" s="271"/>
      <c r="U122" s="271"/>
      <c r="V122" s="271"/>
      <c r="W122" s="272"/>
      <c r="Y122" s="106"/>
      <c r="Z122" s="106"/>
      <c r="AA122" s="106"/>
      <c r="AB122" s="106"/>
      <c r="AC122" s="106"/>
      <c r="AD122" s="106"/>
      <c r="AE122" s="106"/>
      <c r="AF122" s="106"/>
      <c r="AG122" s="106"/>
      <c r="AH122" s="106"/>
      <c r="AI122" s="106"/>
      <c r="AJ122" s="106"/>
      <c r="AK122" s="106"/>
      <c r="AL122" s="106"/>
      <c r="AM122" s="106"/>
      <c r="AN122" s="106"/>
      <c r="AO122" s="106"/>
      <c r="AP122" s="106"/>
      <c r="AQ122" s="106"/>
      <c r="AR122" s="184">
        <v>0</v>
      </c>
    </row>
    <row r="123" s="184" customFormat="1" ht="17.25" hidden="1" customHeight="1">
      <c r="A123" s="253"/>
      <c r="C123" s="128"/>
      <c r="D123" s="254"/>
      <c r="E123" s="255"/>
      <c r="F123" s="265"/>
      <c r="G123" s="255"/>
      <c r="H123" s="266"/>
      <c r="I123" s="267"/>
      <c r="J123" s="273"/>
      <c r="K123" s="125"/>
      <c r="L123" s="125"/>
      <c r="M123" s="125"/>
      <c r="N123" s="270"/>
      <c r="O123" s="125"/>
      <c r="P123" s="125"/>
      <c r="Q123" s="271"/>
      <c r="R123" s="271"/>
      <c r="S123" s="184"/>
      <c r="T123" s="184"/>
      <c r="U123" s="184"/>
      <c r="V123" s="184"/>
      <c r="W123" s="272"/>
      <c r="Y123" s="264"/>
      <c r="Z123" s="264"/>
      <c r="AA123" s="264"/>
      <c r="AB123" s="264"/>
      <c r="AC123" s="264"/>
      <c r="AD123" s="264"/>
      <c r="AE123" s="264"/>
      <c r="AF123" s="264"/>
      <c r="AG123" s="264"/>
      <c r="AH123" s="264"/>
      <c r="AI123" s="264"/>
      <c r="AJ123" s="264"/>
      <c r="AK123" s="264"/>
      <c r="AL123" s="264"/>
      <c r="AM123" s="264"/>
      <c r="AN123" s="264"/>
      <c r="AO123" s="264"/>
      <c r="AP123" s="264"/>
      <c r="AQ123" s="264"/>
      <c r="AR123" s="184">
        <v>0</v>
      </c>
    </row>
    <row r="124" s="184" customFormat="1" ht="17.25" hidden="1" customHeight="1">
      <c r="A124" s="253"/>
      <c r="C124" s="184"/>
      <c r="D124" s="254"/>
      <c r="E124" s="255"/>
      <c r="F124" s="265"/>
      <c r="G124" s="255"/>
      <c r="H124" s="266"/>
      <c r="I124" s="267"/>
      <c r="J124" s="273"/>
      <c r="K124" s="125"/>
      <c r="L124" s="271"/>
      <c r="M124" s="271"/>
      <c r="N124" s="271"/>
      <c r="O124" s="271"/>
      <c r="P124" s="271"/>
      <c r="Q124" s="271"/>
      <c r="R124" s="271"/>
      <c r="S124" s="184"/>
      <c r="T124" s="184"/>
      <c r="U124" s="184"/>
      <c r="V124" s="184"/>
      <c r="W124" s="272"/>
      <c r="Y124" s="106"/>
      <c r="Z124" s="106"/>
      <c r="AA124" s="106"/>
      <c r="AB124" s="106"/>
      <c r="AC124" s="106"/>
      <c r="AD124" s="106"/>
      <c r="AE124" s="106"/>
      <c r="AF124" s="106"/>
      <c r="AG124" s="106"/>
      <c r="AH124" s="106"/>
      <c r="AI124" s="106"/>
      <c r="AJ124" s="106"/>
      <c r="AK124" s="106"/>
      <c r="AL124" s="106"/>
      <c r="AM124" s="106"/>
      <c r="AN124" s="106"/>
      <c r="AO124" s="106"/>
      <c r="AP124" s="106"/>
      <c r="AQ124" s="106"/>
      <c r="AR124" s="184">
        <v>0</v>
      </c>
    </row>
    <row r="125" s="184" customFormat="1" ht="17.25" hidden="1" customHeight="1">
      <c r="A125" s="253"/>
      <c r="C125" s="184"/>
      <c r="D125" s="274"/>
      <c r="E125" s="275"/>
      <c r="F125" s="276"/>
      <c r="G125" s="275"/>
      <c r="H125" s="277"/>
      <c r="I125" s="278"/>
      <c r="J125" s="278"/>
      <c r="K125" s="278"/>
      <c r="L125" s="278"/>
      <c r="M125" s="278"/>
      <c r="N125" s="278"/>
      <c r="O125" s="278"/>
      <c r="P125" s="278"/>
      <c r="Q125" s="278"/>
      <c r="R125" s="278"/>
      <c r="S125" s="279"/>
      <c r="T125" s="279"/>
      <c r="U125" s="279"/>
      <c r="V125" s="279"/>
      <c r="W125" s="280"/>
      <c r="Y125" s="106"/>
      <c r="Z125" s="106"/>
      <c r="AA125" s="106"/>
      <c r="AB125" s="106"/>
      <c r="AC125" s="106"/>
      <c r="AD125" s="106"/>
      <c r="AE125" s="106"/>
      <c r="AF125" s="106"/>
      <c r="AG125" s="106"/>
      <c r="AH125" s="106"/>
      <c r="AI125" s="106"/>
      <c r="AJ125" s="106"/>
      <c r="AK125" s="106"/>
      <c r="AL125" s="106"/>
      <c r="AM125" s="106"/>
      <c r="AN125" s="106"/>
      <c r="AO125" s="106"/>
      <c r="AP125" s="106"/>
      <c r="AQ125" s="106"/>
      <c r="AR125" s="184">
        <v>0</v>
      </c>
    </row>
    <row r="126" s="184" customFormat="1" ht="17.25" hidden="1" customHeight="1">
      <c r="A126" s="253"/>
      <c r="C126" s="128"/>
      <c r="D126" s="254">
        <v>2</v>
      </c>
      <c r="E126" s="255" t="s">
        <v>271</v>
      </c>
      <c r="F126" s="256" t="s">
        <v>19</v>
      </c>
      <c r="G126" s="255"/>
      <c r="H126" s="257"/>
      <c r="I126" s="258"/>
      <c r="J126" s="259"/>
      <c r="K126" s="260"/>
      <c r="L126" s="260"/>
      <c r="M126" s="260"/>
      <c r="N126" s="261"/>
      <c r="O126" s="260"/>
      <c r="P126" s="260"/>
      <c r="Q126" s="260"/>
      <c r="R126" s="262"/>
      <c r="S126" s="260"/>
      <c r="T126" s="260"/>
      <c r="U126" s="260"/>
      <c r="V126" s="262"/>
      <c r="W126" s="263"/>
      <c r="X126" s="264"/>
      <c r="Y126" s="264"/>
      <c r="Z126" s="264"/>
      <c r="AA126" s="264"/>
      <c r="AB126" s="264"/>
      <c r="AC126" s="264" t="s">
        <v>272</v>
      </c>
      <c r="AD126" s="264" t="s">
        <v>273</v>
      </c>
      <c r="AE126" s="264" t="s">
        <v>274</v>
      </c>
      <c r="AF126" s="264" t="s">
        <v>275</v>
      </c>
      <c r="AG126" s="264"/>
      <c r="AH126" s="264" t="str">
        <f>IF($E$126=0,"",$E$126)</f>
        <v xml:space="preserve">Тариф на транспортировку сточных вод</v>
      </c>
      <c r="AI126" s="264" t="str">
        <f>IF($G$126=0,"",$G$126)</f>
        <v/>
      </c>
      <c r="AJ126" s="264" t="str">
        <f>IF($J$126=0,"",$J$126)</f>
        <v/>
      </c>
      <c r="AK126" s="264" t="str">
        <f>IF($K$126="нет","без дифференциации",IF($N$126=0,"",$N$126))</f>
        <v/>
      </c>
      <c r="AL126" s="264" t="str">
        <f>IF($O$126="нет","без дифференциации",IF($R$126=0,"",$R$126))</f>
        <v/>
      </c>
      <c r="AM126" s="264" t="str">
        <f>IF($S$126="нет","без дифференциации",IF($V$126=0,"",$V$126))</f>
        <v/>
      </c>
      <c r="AN126" s="282">
        <f>$I$126</f>
        <v>0</v>
      </c>
      <c r="AO126" s="264" t="str">
        <f>$I$126&amp;"."&amp;$M$126</f>
        <v>.</v>
      </c>
      <c r="AP126" s="106" t="str">
        <f>$I$126&amp;"."&amp;$M$126&amp;"."&amp;$Q$126</f>
        <v>..</v>
      </c>
      <c r="AQ126" s="106" t="str">
        <f>$I$126&amp;"."&amp;$M$126&amp;"."&amp;$Q$126&amp;"."&amp;$U$126</f>
        <v>...</v>
      </c>
      <c r="AR126" s="184">
        <v>0</v>
      </c>
    </row>
    <row r="127" s="184" customFormat="1" ht="17.25" hidden="1" customHeight="1">
      <c r="A127" s="253"/>
      <c r="C127" s="184"/>
      <c r="D127" s="254"/>
      <c r="E127" s="255"/>
      <c r="F127" s="265"/>
      <c r="G127" s="255"/>
      <c r="H127" s="266"/>
      <c r="I127" s="267"/>
      <c r="J127" s="268"/>
      <c r="K127" s="125"/>
      <c r="L127" s="125"/>
      <c r="M127" s="125"/>
      <c r="N127" s="269"/>
      <c r="O127" s="125"/>
      <c r="P127" s="125"/>
      <c r="Q127" s="125"/>
      <c r="R127" s="270"/>
      <c r="S127" s="125"/>
      <c r="T127" s="271"/>
      <c r="U127" s="271"/>
      <c r="V127" s="271"/>
      <c r="W127" s="272"/>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84">
        <v>0</v>
      </c>
    </row>
    <row r="128" s="184" customFormat="1" ht="17.25" hidden="1" customHeight="1">
      <c r="A128" s="253"/>
      <c r="C128" s="184"/>
      <c r="D128" s="274"/>
      <c r="E128" s="275"/>
      <c r="F128" s="265"/>
      <c r="G128" s="275"/>
      <c r="H128" s="266"/>
      <c r="I128" s="267"/>
      <c r="J128" s="273"/>
      <c r="K128" s="125"/>
      <c r="L128" s="125"/>
      <c r="M128" s="125"/>
      <c r="N128" s="270"/>
      <c r="O128" s="125"/>
      <c r="P128" s="125"/>
      <c r="Q128" s="271"/>
      <c r="R128" s="271"/>
      <c r="S128" s="184"/>
      <c r="T128" s="184"/>
      <c r="U128" s="184"/>
      <c r="V128" s="184"/>
      <c r="W128" s="272"/>
      <c r="X128" s="106"/>
      <c r="Y128" s="106"/>
      <c r="Z128" s="106"/>
      <c r="AA128" s="106"/>
      <c r="AB128" s="106"/>
      <c r="AC128" s="106"/>
      <c r="AD128" s="106"/>
      <c r="AE128" s="106"/>
      <c r="AF128" s="106"/>
      <c r="AG128" s="106"/>
      <c r="AH128" s="106"/>
      <c r="AI128" s="106"/>
      <c r="AJ128" s="106"/>
      <c r="AK128" s="106"/>
      <c r="AL128" s="106"/>
      <c r="AM128" s="106"/>
      <c r="AN128" s="106"/>
      <c r="AO128" s="106"/>
      <c r="AP128" s="106"/>
      <c r="AQ128" s="106"/>
      <c r="AR128" s="184">
        <v>0</v>
      </c>
    </row>
    <row r="129" s="184" customFormat="1" ht="17.25" hidden="1" customHeight="1">
      <c r="A129" s="253"/>
      <c r="C129" s="184"/>
      <c r="D129" s="274"/>
      <c r="E129" s="275"/>
      <c r="F129" s="265"/>
      <c r="G129" s="275"/>
      <c r="H129" s="266"/>
      <c r="I129" s="267"/>
      <c r="J129" s="273"/>
      <c r="K129" s="125"/>
      <c r="L129" s="271"/>
      <c r="M129" s="271"/>
      <c r="N129" s="271"/>
      <c r="O129" s="271"/>
      <c r="P129" s="271"/>
      <c r="Q129" s="271"/>
      <c r="R129" s="271"/>
      <c r="S129" s="184"/>
      <c r="T129" s="184"/>
      <c r="U129" s="184"/>
      <c r="V129" s="184"/>
      <c r="W129" s="272"/>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84">
        <v>0</v>
      </c>
    </row>
    <row r="130" s="184" customFormat="1" ht="17.25" hidden="1" customHeight="1">
      <c r="A130" s="253"/>
      <c r="C130" s="184"/>
      <c r="D130" s="274"/>
      <c r="E130" s="275"/>
      <c r="F130" s="276"/>
      <c r="G130" s="275"/>
      <c r="H130" s="277"/>
      <c r="I130" s="278"/>
      <c r="J130" s="278"/>
      <c r="K130" s="278"/>
      <c r="L130" s="278"/>
      <c r="M130" s="278"/>
      <c r="N130" s="278"/>
      <c r="O130" s="278"/>
      <c r="P130" s="278"/>
      <c r="Q130" s="278"/>
      <c r="R130" s="278"/>
      <c r="S130" s="279"/>
      <c r="T130" s="279"/>
      <c r="U130" s="279"/>
      <c r="V130" s="279"/>
      <c r="W130" s="280"/>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84">
        <v>0</v>
      </c>
    </row>
    <row r="131" s="184" customFormat="1" ht="17.25" hidden="1" customHeight="1">
      <c r="A131" s="253"/>
      <c r="C131" s="128"/>
      <c r="D131" s="254">
        <v>3</v>
      </c>
      <c r="E131" s="255" t="s">
        <v>276</v>
      </c>
      <c r="F131" s="256" t="s">
        <v>19</v>
      </c>
      <c r="G131" s="255"/>
      <c r="H131" s="257"/>
      <c r="I131" s="258"/>
      <c r="J131" s="259"/>
      <c r="K131" s="260"/>
      <c r="L131" s="260"/>
      <c r="M131" s="260"/>
      <c r="N131" s="261"/>
      <c r="O131" s="260"/>
      <c r="P131" s="260"/>
      <c r="Q131" s="260"/>
      <c r="R131" s="262"/>
      <c r="S131" s="260"/>
      <c r="T131" s="260"/>
      <c r="U131" s="260"/>
      <c r="V131" s="262"/>
      <c r="W131" s="263"/>
      <c r="X131" s="264"/>
      <c r="Y131" s="264"/>
      <c r="Z131" s="264"/>
      <c r="AA131" s="264"/>
      <c r="AB131" s="264"/>
      <c r="AC131" s="264" t="s">
        <v>277</v>
      </c>
      <c r="AD131" s="264" t="s">
        <v>278</v>
      </c>
      <c r="AE131" s="264" t="s">
        <v>279</v>
      </c>
      <c r="AF131" s="264" t="s">
        <v>280</v>
      </c>
      <c r="AG131" s="264"/>
      <c r="AH131" s="264" t="str">
        <f>IF($E$131=0,"",$E$131)</f>
        <v xml:space="preserve">Тариф на подключение (технологическое присоединение) к централизованной системе водоотведения</v>
      </c>
      <c r="AI131" s="264" t="str">
        <f>IF($G$131=0,"",$G$131)</f>
        <v/>
      </c>
      <c r="AJ131" s="264" t="str">
        <f>IF($J$131=0,"",$J$131)</f>
        <v/>
      </c>
      <c r="AK131" s="264" t="str">
        <f>IF($K$131="нет","без дифференциации",IF($N$131=0,"",$N$131))</f>
        <v/>
      </c>
      <c r="AL131" s="264" t="str">
        <f>IF($O$131="нет","без дифференциации",IF($R$131=0,"",$R$131))</f>
        <v/>
      </c>
      <c r="AM131" s="264" t="str">
        <f>IF($S$131="нет","без дифференциации",IF($V$131=0,"",$V$131))</f>
        <v/>
      </c>
      <c r="AN131" s="282">
        <f>$I$131</f>
        <v>0</v>
      </c>
      <c r="AO131" s="264" t="str">
        <f>$I$131&amp;"."&amp;$M$131</f>
        <v>.</v>
      </c>
      <c r="AP131" s="106" t="str">
        <f>$I$131&amp;"."&amp;$M$131&amp;"."&amp;$Q$131</f>
        <v>..</v>
      </c>
      <c r="AQ131" s="106" t="str">
        <f>$I$131&amp;"."&amp;$M$131&amp;"."&amp;$Q$131&amp;"."&amp;$U$131</f>
        <v>...</v>
      </c>
      <c r="AR131" s="184">
        <v>0</v>
      </c>
    </row>
    <row r="132" s="184" customFormat="1" ht="17.25" hidden="1" customHeight="1">
      <c r="A132" s="253"/>
      <c r="C132" s="184"/>
      <c r="D132" s="254"/>
      <c r="E132" s="255"/>
      <c r="F132" s="265"/>
      <c r="G132" s="255"/>
      <c r="H132" s="266"/>
      <c r="I132" s="267"/>
      <c r="J132" s="268"/>
      <c r="K132" s="125"/>
      <c r="L132" s="125"/>
      <c r="M132" s="125"/>
      <c r="N132" s="269"/>
      <c r="O132" s="125"/>
      <c r="P132" s="125"/>
      <c r="Q132" s="125"/>
      <c r="R132" s="270"/>
      <c r="S132" s="125"/>
      <c r="T132" s="271"/>
      <c r="U132" s="271"/>
      <c r="V132" s="271"/>
      <c r="W132" s="272"/>
      <c r="X132" s="106"/>
      <c r="Y132" s="106"/>
      <c r="Z132" s="106"/>
      <c r="AA132" s="106"/>
      <c r="AB132" s="106"/>
      <c r="AC132" s="106"/>
      <c r="AD132" s="106"/>
      <c r="AE132" s="106"/>
      <c r="AF132" s="106"/>
      <c r="AG132" s="106"/>
      <c r="AH132" s="106"/>
      <c r="AI132" s="106"/>
      <c r="AJ132" s="106"/>
      <c r="AK132" s="106"/>
      <c r="AL132" s="106"/>
      <c r="AM132" s="106"/>
      <c r="AN132" s="106"/>
      <c r="AO132" s="106"/>
      <c r="AP132" s="106"/>
      <c r="AQ132" s="106"/>
      <c r="AR132" s="184">
        <v>0</v>
      </c>
    </row>
    <row r="133" s="184" customFormat="1" ht="17.25" hidden="1" customHeight="1">
      <c r="A133" s="253"/>
      <c r="C133" s="184"/>
      <c r="D133" s="274"/>
      <c r="E133" s="275"/>
      <c r="F133" s="265"/>
      <c r="G133" s="275"/>
      <c r="H133" s="266"/>
      <c r="I133" s="267"/>
      <c r="J133" s="273"/>
      <c r="K133" s="125"/>
      <c r="L133" s="125"/>
      <c r="M133" s="125"/>
      <c r="N133" s="270"/>
      <c r="O133" s="125"/>
      <c r="P133" s="125"/>
      <c r="Q133" s="271"/>
      <c r="R133" s="271"/>
      <c r="S133" s="184"/>
      <c r="T133" s="184"/>
      <c r="U133" s="184"/>
      <c r="V133" s="184"/>
      <c r="W133" s="272"/>
      <c r="X133" s="106"/>
      <c r="Y133" s="106"/>
      <c r="Z133" s="106"/>
      <c r="AA133" s="106"/>
      <c r="AB133" s="106"/>
      <c r="AC133" s="106"/>
      <c r="AD133" s="106"/>
      <c r="AE133" s="106"/>
      <c r="AF133" s="106"/>
      <c r="AG133" s="106"/>
      <c r="AH133" s="106"/>
      <c r="AI133" s="106"/>
      <c r="AJ133" s="106"/>
      <c r="AK133" s="106"/>
      <c r="AL133" s="106"/>
      <c r="AM133" s="106"/>
      <c r="AN133" s="106"/>
      <c r="AO133" s="106"/>
      <c r="AP133" s="106"/>
      <c r="AQ133" s="106"/>
      <c r="AR133" s="184">
        <v>0</v>
      </c>
    </row>
    <row r="134" s="184" customFormat="1" ht="17.25" hidden="1" customHeight="1">
      <c r="A134" s="253"/>
      <c r="C134" s="184"/>
      <c r="D134" s="274"/>
      <c r="E134" s="275"/>
      <c r="F134" s="265"/>
      <c r="G134" s="275"/>
      <c r="H134" s="266"/>
      <c r="I134" s="267"/>
      <c r="J134" s="273"/>
      <c r="K134" s="125"/>
      <c r="L134" s="271"/>
      <c r="M134" s="271"/>
      <c r="N134" s="271"/>
      <c r="O134" s="271"/>
      <c r="P134" s="271"/>
      <c r="Q134" s="271"/>
      <c r="R134" s="271"/>
      <c r="S134" s="184"/>
      <c r="T134" s="184"/>
      <c r="U134" s="184"/>
      <c r="V134" s="184"/>
      <c r="W134" s="272"/>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84">
        <v>0</v>
      </c>
    </row>
    <row r="135" s="184" customFormat="1" ht="17.25" hidden="1" customHeight="1">
      <c r="A135" s="253"/>
      <c r="C135" s="184"/>
      <c r="D135" s="274"/>
      <c r="E135" s="275"/>
      <c r="F135" s="276"/>
      <c r="G135" s="275"/>
      <c r="H135" s="277"/>
      <c r="I135" s="278"/>
      <c r="J135" s="278"/>
      <c r="K135" s="278"/>
      <c r="L135" s="278"/>
      <c r="M135" s="278"/>
      <c r="N135" s="278"/>
      <c r="O135" s="278"/>
      <c r="P135" s="278"/>
      <c r="Q135" s="278"/>
      <c r="R135" s="278"/>
      <c r="S135" s="279"/>
      <c r="T135" s="279"/>
      <c r="U135" s="279"/>
      <c r="V135" s="279"/>
      <c r="W135" s="280"/>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84">
        <v>0</v>
      </c>
    </row>
    <row r="136" ht="11.5" customHeight="1">
      <c r="AR136" s="184">
        <v>11</v>
      </c>
    </row>
    <row r="137" ht="11.5" customHeight="1">
      <c r="AR137" s="184">
        <v>11</v>
      </c>
    </row>
    <row r="138" ht="11.5" customHeight="1">
      <c r="AR138" s="184">
        <v>11</v>
      </c>
    </row>
    <row r="139" ht="11.5" customHeight="1">
      <c r="E139" s="184"/>
      <c r="AR139" s="184">
        <v>11</v>
      </c>
    </row>
    <row r="140" ht="11.5" customHeight="1">
      <c r="E140" s="184"/>
      <c r="AR140" s="184">
        <v>11</v>
      </c>
    </row>
    <row r="141" ht="11.5" customHeight="1">
      <c r="E141" s="184"/>
      <c r="AR141" s="184">
        <v>11</v>
      </c>
    </row>
    <row r="142" ht="11.5" customHeight="1">
      <c r="E142" s="184"/>
      <c r="AR142" s="184">
        <v>11</v>
      </c>
    </row>
    <row r="143" ht="11.5" customHeight="1">
      <c r="E143" s="184"/>
      <c r="AR143" s="184">
        <v>11</v>
      </c>
    </row>
    <row r="144" ht="11.5" customHeight="1">
      <c r="E144" s="184"/>
      <c r="AR144" s="184">
        <v>11</v>
      </c>
    </row>
    <row r="145" ht="11.5" customHeight="1">
      <c r="E145" s="184"/>
      <c r="AR145" s="184">
        <v>11</v>
      </c>
    </row>
    <row r="146" ht="11.25" hidden="1" customHeight="1">
      <c r="A146" s="129" t="s">
        <v>82</v>
      </c>
      <c r="B146" s="129">
        <v>0</v>
      </c>
      <c r="C146" s="184">
        <v>3</v>
      </c>
      <c r="D146" s="184">
        <v>6</v>
      </c>
      <c r="E146" s="184">
        <v>42</v>
      </c>
      <c r="F146" s="184">
        <v>14</v>
      </c>
      <c r="G146" s="184">
        <v>42</v>
      </c>
      <c r="H146" s="184">
        <v>3</v>
      </c>
      <c r="I146" s="184">
        <v>5</v>
      </c>
      <c r="J146" s="184">
        <v>47</v>
      </c>
      <c r="K146" s="184">
        <v>3</v>
      </c>
      <c r="L146" s="184">
        <v>3</v>
      </c>
      <c r="M146" s="184">
        <v>5</v>
      </c>
      <c r="N146" s="184">
        <v>28</v>
      </c>
      <c r="O146" s="184">
        <v>3</v>
      </c>
      <c r="P146" s="184">
        <v>3</v>
      </c>
      <c r="Q146" s="184">
        <v>5</v>
      </c>
      <c r="R146" s="184">
        <v>34</v>
      </c>
      <c r="S146" s="184">
        <v>0</v>
      </c>
      <c r="T146" s="184">
        <v>0</v>
      </c>
      <c r="U146" s="184">
        <v>0</v>
      </c>
      <c r="V146" s="184">
        <v>0</v>
      </c>
      <c r="W146" s="184">
        <v>30</v>
      </c>
      <c r="X146" s="184">
        <v>3</v>
      </c>
      <c r="Y146" s="106">
        <v>0</v>
      </c>
      <c r="Z146" s="106">
        <v>0</v>
      </c>
      <c r="AA146" s="106">
        <v>0</v>
      </c>
      <c r="AB146" s="106">
        <v>0</v>
      </c>
      <c r="AC146" s="106">
        <v>0</v>
      </c>
      <c r="AD146" s="106">
        <v>0</v>
      </c>
      <c r="AE146" s="106">
        <v>0</v>
      </c>
      <c r="AF146" s="106">
        <v>0</v>
      </c>
      <c r="AG146" s="106">
        <v>0</v>
      </c>
      <c r="AH146" s="106">
        <v>0</v>
      </c>
      <c r="AI146" s="106">
        <v>0</v>
      </c>
      <c r="AJ146" s="106">
        <v>0</v>
      </c>
      <c r="AK146" s="106">
        <v>0</v>
      </c>
      <c r="AL146" s="106">
        <v>0</v>
      </c>
      <c r="AM146" s="106">
        <v>0</v>
      </c>
      <c r="AN146" s="106">
        <v>0</v>
      </c>
      <c r="AO146" s="106">
        <v>0</v>
      </c>
      <c r="AP146" s="106">
        <v>0</v>
      </c>
      <c r="AQ146" s="106">
        <v>0</v>
      </c>
      <c r="AR146" s="184">
        <v>11</v>
      </c>
    </row>
  </sheetData>
  <sheetProtection autoFilter="0" deleteColumns="0" deleteRows="0" formatCells="1" formatColumns="0" formatRows="0" insertColumns="1" insertHyperlinks="1" insertRows="0" pivotTables="1" selectLockedCells="0" selectUnlockedCells="0" sheet="0" sort="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9" disablePrompts="0">
    <dataValidation sqref="N91"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9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90"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8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O8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89"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K8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disablePrompts="0">
        <x14:dataValidation xr:uid="{008500B0-004D-4B18-8648-001300B000CA}" type="textLength" allowBlank="1" error="Допускается ввод не более 900 символов!" errorStyle="stop" errorTitle="Ошибка" imeMode="noControl" operator="lessThanOrEqual" showDropDown="0" showErrorMessage="1" showInputMessage="1">
          <x14:formula1>
            <xm:f>900</xm:f>
          </x14:formula1>
          <xm:sqref>R90</xm:sqref>
        </x14:dataValidation>
        <x14:dataValidation xr:uid="{00E10019-0081-4CC0-AFDA-000200AE003A}" type="textLength" allowBlank="1" error="Допускается ввод не более 900 символов!" errorStyle="stop" errorTitle="Ошибка" imeMode="noControl" operator="lessThanOrEqual" showDropDown="0" showErrorMessage="1" showInputMessage="1">
          <x14:formula1>
            <xm:f>900</xm:f>
          </x14:formula1>
          <xm:sqref>J90</xm:sqref>
        </x14:dataValidation>
        <x14:dataValidation xr:uid="{00E4002B-0042-4E70-830B-008500810063}" type="textLength" allowBlank="1" error="Допускается ввод не более 900 символов!" errorStyle="stop" errorTitle="Ошибка" imeMode="noControl" operator="lessThanOrEqual" showDropDown="0" showErrorMessage="1" showInputMessage="1">
          <x14:formula1>
            <xm:f>900</xm:f>
          </x14:formula1>
          <xm:sqref>W89</xm:sqref>
        </x14:dataValidation>
        <x14:dataValidation xr:uid="{002100DA-0074-4F57-95C7-00BF000A000E}" type="textLength" allowBlank="1" error="Допускается ввод не более 900 символов!" errorStyle="stop" errorTitle="Ошибка" imeMode="noControl" operator="lessThanOrEqual" showDropDown="0" showErrorMessage="1" showInputMessage="1">
          <x14:formula1>
            <xm:f>900</xm:f>
          </x14:formula1>
          <xm:sqref>V89</xm:sqref>
        </x14:dataValidation>
        <x14:dataValidation xr:uid="{007500C2-0086-4D3B-BB94-00D600EE0024}" type="textLength" allowBlank="1" error="Допускается ввод не более 900 символов!" errorStyle="stop" errorTitle="Ошибка" imeMode="noControl" operator="lessThanOrEqual" showDropDown="0" showErrorMessage="1" showInputMessage="1">
          <x14:formula1>
            <xm:f>900</xm:f>
          </x14:formula1>
          <xm:sqref>R89</xm:sqref>
        </x14:dataValidation>
        <x14:dataValidation xr:uid="{00A800D6-0068-4745-853E-004F00C40034}" type="textLength" allowBlank="1" error="Допускается ввод не более 900 символов!" errorStyle="stop" errorTitle="Ошибка" imeMode="noControl" operator="lessThanOrEqual" showDropDown="0" showErrorMessage="1" showInputMessage="1">
          <x14:formula1>
            <xm:f>900</xm:f>
          </x14:formula1>
          <xm:sqref>J89</xm:sqref>
        </x14:dataValidation>
        <x14:dataValidation xr:uid="{00AC003D-00FD-4B9E-8CB9-00D2005B00E9}"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 xr:uid="{00960080-008C-4E71-8C02-00B200FD0007}"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N53:N55 N105:N107 N110:N112 N126:N128 N121:N123 N58:N60 N63:N65 N99:N101 N115:N117 N131:N133 N23:N25</xm:sqref>
        </x14:dataValidation>
        <x14:dataValidation xr:uid="{0010002B-0095-49DC-A34D-00D30056007A}"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6"/>
      <c r="V1" s="53" t="s">
        <v>14</v>
      </c>
    </row>
    <row r="2" s="50" customFormat="1" ht="15" hidden="1" customHeight="1">
      <c r="A2" s="56"/>
      <c r="C2" s="149"/>
      <c r="D2" s="125"/>
      <c r="E2" s="268"/>
      <c r="F2" s="51"/>
      <c r="G2" s="142"/>
      <c r="H2" s="142"/>
      <c r="I2" s="142"/>
      <c r="J2" s="142"/>
      <c r="U2" s="114"/>
      <c r="V2" s="50">
        <v>0</v>
      </c>
    </row>
    <row r="3" s="53" customFormat="1" ht="15" hidden="1" customHeight="1">
      <c r="C3" s="113"/>
      <c r="U3" s="166"/>
      <c r="V3" s="53">
        <v>0</v>
      </c>
    </row>
    <row r="4" ht="15.75" customHeight="1">
      <c r="C4" s="149"/>
      <c r="D4" s="50"/>
      <c r="E4" s="50"/>
      <c r="F4" s="50"/>
      <c r="G4" s="50"/>
      <c r="H4" s="50"/>
      <c r="I4" s="50"/>
      <c r="J4" s="50"/>
      <c r="V4" s="50">
        <v>15</v>
      </c>
    </row>
    <row r="5" ht="66" customHeight="1">
      <c r="C5" s="149"/>
      <c r="D5" s="466" t="s">
        <v>1166</v>
      </c>
      <c r="E5" s="466"/>
      <c r="F5" s="466"/>
      <c r="G5" s="466"/>
      <c r="H5" s="466"/>
      <c r="I5" s="466"/>
      <c r="J5" s="466"/>
      <c r="V5" s="50">
        <v>63</v>
      </c>
    </row>
    <row r="6" ht="15.75" customHeight="1">
      <c r="C6" s="149"/>
      <c r="D6" s="320" t="str">
        <f>IF(org=0,"Не определено",org)</f>
        <v xml:space="preserve">филиал Пермская ГРЭС АО "Интер РАО - Электрогенерация"</v>
      </c>
      <c r="E6" s="320"/>
      <c r="F6" s="320"/>
      <c r="G6" s="320"/>
      <c r="H6" s="320"/>
      <c r="I6" s="320"/>
      <c r="J6" s="320"/>
      <c r="K6" s="53"/>
      <c r="V6" s="50">
        <v>15</v>
      </c>
    </row>
    <row r="7" ht="15.75" customHeight="1">
      <c r="C7" s="149"/>
      <c r="D7" s="356"/>
      <c r="E7" s="50"/>
      <c r="F7" s="50"/>
      <c r="G7" s="53">
        <v>22</v>
      </c>
      <c r="I7" s="53">
        <v>1</v>
      </c>
      <c r="J7" s="356"/>
      <c r="V7" s="50">
        <v>15</v>
      </c>
    </row>
    <row r="8" s="50" customFormat="1" ht="1.05" customHeight="1">
      <c r="A8" s="56"/>
      <c r="C8" s="149"/>
      <c r="D8" s="50"/>
      <c r="E8" s="50"/>
      <c r="F8" s="50"/>
      <c r="G8" s="53"/>
      <c r="H8" s="356"/>
      <c r="I8" s="53" t="s">
        <v>117</v>
      </c>
      <c r="J8" s="356"/>
      <c r="K8" s="53"/>
      <c r="U8" s="114"/>
      <c r="V8" s="50">
        <v>1</v>
      </c>
    </row>
    <row r="9" ht="15.75" customHeight="1">
      <c r="C9" s="149"/>
      <c r="D9" s="778"/>
      <c r="E9" s="779" t="s">
        <v>105</v>
      </c>
      <c r="F9" s="780"/>
      <c r="G9" s="935" t="str">
        <f>IF(G8="","",INDEX(DIFFERENTIATION_UNMERGE_VD,MATCH(G8,DIFFERENTIATION_ID_DIFF,0)))</f>
        <v/>
      </c>
      <c r="H9" s="936"/>
      <c r="I9" s="935">
        <f>IF(I8="","",INDEX(DIFFERENTIATION_UNMERGE_VD,MATCH(I8,DIFFERENTIATION_ID_DIFF,0)))</f>
        <v>0</v>
      </c>
      <c r="J9" s="936"/>
      <c r="K9" s="324" t="s">
        <v>303</v>
      </c>
      <c r="V9" s="50">
        <v>15</v>
      </c>
    </row>
    <row r="10" s="50" customFormat="1" ht="15.75" customHeight="1">
      <c r="A10" s="56"/>
      <c r="C10" s="149"/>
      <c r="D10" s="778"/>
      <c r="E10" s="779" t="s">
        <v>566</v>
      </c>
      <c r="F10" s="780"/>
      <c r="G10" s="935" t="str">
        <f>IF(G8="","",INDEX(DIFFERENTIATION_UNMERGE_AREA,MATCH(G8,DIFFERENTIATION_ID_DIFF,0)))</f>
        <v/>
      </c>
      <c r="H10" s="936"/>
      <c r="I10" s="935" t="str">
        <f>IF(I8="","",INDEX(DIFFERENTIATION_UNMERGE_AREA,MATCH(I8,DIFFERENTIATION_ID_DIFF,0)))</f>
        <v/>
      </c>
      <c r="J10" s="936"/>
      <c r="K10" s="323"/>
      <c r="U10" s="114"/>
      <c r="V10" s="50">
        <v>15</v>
      </c>
    </row>
    <row r="11" s="50" customFormat="1" ht="15.75" customHeight="1">
      <c r="A11" s="56"/>
      <c r="C11" s="149"/>
      <c r="D11" s="778"/>
      <c r="E11" s="779" t="s">
        <v>567</v>
      </c>
      <c r="F11" s="780"/>
      <c r="G11" s="935" t="str">
        <f>IF(G8="","",INDEX(DIFFERENTIATION_UNMERGE_SYSTEM,MATCH(G8,DIFFERENTIATION_ID_DIFF,0)))</f>
        <v/>
      </c>
      <c r="H11" s="936"/>
      <c r="I11" s="935" t="str">
        <f>IF(I8="","",INDEX(DIFFERENTIATION_UNMERGE_SYSTEM,MATCH(I8,DIFFERENTIATION_ID_DIFF,0)))</f>
        <v xml:space="preserve">без дифференциации</v>
      </c>
      <c r="J11" s="936"/>
      <c r="K11" s="323"/>
      <c r="U11" s="114"/>
      <c r="V11" s="50">
        <v>15</v>
      </c>
    </row>
    <row r="12" s="50" customFormat="1" ht="15.75" customHeight="1">
      <c r="A12" s="56"/>
      <c r="C12" s="149"/>
      <c r="D12" s="782" t="s">
        <v>302</v>
      </c>
      <c r="E12" s="783"/>
      <c r="F12" s="783"/>
      <c r="G12" s="779"/>
      <c r="H12" s="779"/>
      <c r="I12" s="779"/>
      <c r="J12" s="779"/>
      <c r="K12" s="323"/>
      <c r="U12" s="114"/>
      <c r="V12" s="50">
        <v>15</v>
      </c>
    </row>
    <row r="13" ht="35.649999999999999" customHeight="1">
      <c r="C13" s="149"/>
      <c r="D13" s="157" t="s">
        <v>88</v>
      </c>
      <c r="E13" s="157" t="s">
        <v>304</v>
      </c>
      <c r="F13" s="157" t="s">
        <v>568</v>
      </c>
      <c r="G13" s="73" t="s">
        <v>305</v>
      </c>
      <c r="H13" s="157" t="s">
        <v>392</v>
      </c>
      <c r="I13" s="73" t="s">
        <v>305</v>
      </c>
      <c r="J13" s="157" t="s">
        <v>392</v>
      </c>
      <c r="K13" s="162"/>
      <c r="V13" s="50">
        <v>34</v>
      </c>
    </row>
    <row r="14" ht="15" hidden="1" customHeight="1">
      <c r="C14" s="149"/>
      <c r="D14" s="206" t="s">
        <v>109</v>
      </c>
      <c r="E14" s="206" t="s">
        <v>110</v>
      </c>
      <c r="F14" s="206" t="s">
        <v>90</v>
      </c>
      <c r="G14" s="149" t="str">
        <f>G1&amp;".1"</f>
        <v>4.1</v>
      </c>
      <c r="H14" s="149"/>
      <c r="I14" s="149" t="str">
        <f>I1&amp;".1"</f>
        <v>4.1</v>
      </c>
      <c r="J14" s="149"/>
      <c r="K14" s="499"/>
      <c r="V14" s="50">
        <v>0</v>
      </c>
    </row>
    <row r="15" ht="22.5" hidden="1" customHeight="1">
      <c r="A15" s="50"/>
      <c r="C15" s="128"/>
      <c r="D15" s="157">
        <v>1</v>
      </c>
      <c r="E15" s="330" t="s">
        <v>810</v>
      </c>
      <c r="F15" s="157" t="s">
        <v>811</v>
      </c>
      <c r="G15" s="1045"/>
      <c r="H15" s="1045"/>
      <c r="I15" s="1045"/>
      <c r="J15" s="1045"/>
      <c r="K15" s="499" t="s">
        <v>812</v>
      </c>
      <c r="V15" s="50">
        <v>0</v>
      </c>
    </row>
    <row r="16" ht="22.5" hidden="1" customHeight="1">
      <c r="A16" s="50"/>
      <c r="C16" s="128"/>
      <c r="D16" s="157">
        <v>2</v>
      </c>
      <c r="E16" s="330" t="s">
        <v>813</v>
      </c>
      <c r="F16" s="157" t="s">
        <v>814</v>
      </c>
      <c r="G16" s="1045"/>
      <c r="H16" s="1045"/>
      <c r="I16" s="1045"/>
      <c r="J16" s="1045"/>
      <c r="K16" s="499" t="s">
        <v>815</v>
      </c>
      <c r="V16" s="50">
        <v>0</v>
      </c>
    </row>
    <row r="17" ht="123.75" hidden="1" customHeight="1">
      <c r="A17" s="50"/>
      <c r="C17" s="128"/>
      <c r="D17" s="157">
        <v>3</v>
      </c>
      <c r="E17" s="330" t="s">
        <v>1167</v>
      </c>
      <c r="F17" s="157" t="s">
        <v>308</v>
      </c>
      <c r="G17" s="1045"/>
      <c r="H17" s="1045"/>
      <c r="I17" s="1045"/>
      <c r="J17" s="1045"/>
      <c r="K17" s="499" t="s">
        <v>1168</v>
      </c>
      <c r="V17" s="50">
        <v>0</v>
      </c>
    </row>
    <row r="18" ht="48.25" customHeight="1">
      <c r="A18" s="50"/>
      <c r="C18" s="128"/>
      <c r="D18" s="157">
        <v>3</v>
      </c>
      <c r="E18" s="330" t="s">
        <v>816</v>
      </c>
      <c r="F18" s="157" t="s">
        <v>308</v>
      </c>
      <c r="G18" s="157" t="s">
        <v>308</v>
      </c>
      <c r="H18" s="324" t="s">
        <v>308</v>
      </c>
      <c r="I18" s="157" t="s">
        <v>308</v>
      </c>
      <c r="J18" s="324" t="s">
        <v>308</v>
      </c>
      <c r="K18" s="499" t="s">
        <v>1169</v>
      </c>
      <c r="V18" s="50">
        <v>46</v>
      </c>
    </row>
    <row r="19" ht="35.649999999999999" customHeight="1">
      <c r="A19" s="50"/>
      <c r="C19" s="128"/>
      <c r="D19" s="218" t="s">
        <v>326</v>
      </c>
      <c r="E19" s="686" t="s">
        <v>818</v>
      </c>
      <c r="F19" s="157" t="s">
        <v>819</v>
      </c>
      <c r="G19" s="903"/>
      <c r="H19" s="295"/>
      <c r="I19" s="903"/>
      <c r="J19" s="815"/>
      <c r="K19" s="939"/>
      <c r="V19" s="50">
        <v>34</v>
      </c>
    </row>
    <row r="20" ht="35.649999999999999" customHeight="1">
      <c r="A20" s="50"/>
      <c r="C20" s="128"/>
      <c r="D20" s="218" t="s">
        <v>334</v>
      </c>
      <c r="E20" s="686" t="s">
        <v>820</v>
      </c>
      <c r="F20" s="157" t="s">
        <v>821</v>
      </c>
      <c r="G20" s="903"/>
      <c r="H20" s="295"/>
      <c r="I20" s="903"/>
      <c r="J20" s="295"/>
      <c r="K20" s="939"/>
      <c r="V20" s="50">
        <v>34</v>
      </c>
    </row>
    <row r="21" ht="48.25" customHeight="1">
      <c r="A21" s="50"/>
      <c r="C21" s="128"/>
      <c r="D21" s="218" t="s">
        <v>336</v>
      </c>
      <c r="E21" s="686" t="s">
        <v>822</v>
      </c>
      <c r="F21" s="157" t="s">
        <v>573</v>
      </c>
      <c r="G21" s="904"/>
      <c r="H21" s="295"/>
      <c r="I21" s="904"/>
      <c r="J21" s="295"/>
      <c r="K21" s="939"/>
      <c r="V21" s="50">
        <v>46</v>
      </c>
    </row>
    <row r="22" ht="67.5" hidden="1" customHeight="1">
      <c r="A22" s="50"/>
      <c r="C22" s="128"/>
      <c r="D22" s="157">
        <v>5</v>
      </c>
      <c r="E22" s="330" t="s">
        <v>1170</v>
      </c>
      <c r="F22" s="157" t="s">
        <v>560</v>
      </c>
      <c r="G22" s="1046"/>
      <c r="H22" s="698"/>
      <c r="I22" s="1046"/>
      <c r="J22" s="698"/>
      <c r="K22" s="499" t="s">
        <v>1171</v>
      </c>
      <c r="V22" s="50">
        <v>0</v>
      </c>
    </row>
    <row r="23" ht="33.75" hidden="1" customHeight="1">
      <c r="C23" s="128"/>
      <c r="D23" s="157">
        <v>6</v>
      </c>
      <c r="E23" s="330" t="s">
        <v>1172</v>
      </c>
      <c r="F23" s="157" t="s">
        <v>1173</v>
      </c>
      <c r="G23" s="1046"/>
      <c r="H23" s="1046"/>
      <c r="I23" s="1046"/>
      <c r="J23" s="1046"/>
      <c r="K23" s="499" t="s">
        <v>1174</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47"/>
      <c r="V29" s="50">
        <v>15</v>
      </c>
    </row>
    <row r="30" ht="22.5" hidden="1" customHeight="1">
      <c r="A30" s="56" t="s">
        <v>82</v>
      </c>
      <c r="B30" s="50">
        <v>0</v>
      </c>
      <c r="C30" s="149">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4">
        <v>10</v>
      </c>
      <c r="V30" s="50">
        <v>23</v>
      </c>
    </row>
  </sheetData>
  <sheetProtection autoFilter="0" deleteColumns="0" deleteRows="0" formatCells="1" formatColumns="0" formatRows="0" insertColumns="1" insertHyperlinks="1" insertRows="0" pivotTables="1" selectLockedCells="0" selectUnlockedCells="0" sheet="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47008B-00D6-4A11-97CE-00C60087009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 xr:uid="{00690041-0061-4330-96C4-000A00BB004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1400C5-0004-48E0-8E04-0098003A001B}"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1006" width="32.57421875"/>
    <col customWidth="1" min="2" max="2" style="63" width="11.00390625"/>
    <col min="3" max="3" style="63" width="9.140625"/>
    <col customWidth="1" min="4" max="4" style="63" width="26.57421875"/>
    <col customWidth="1" min="5" max="5" style="143" width="36.8515625"/>
    <col customWidth="1" min="6" max="6" style="143" width="23.57421875"/>
    <col customWidth="1" min="7" max="7" style="143" width="31.421875"/>
    <col customWidth="1" min="8" max="8" style="143" width="40.8515625"/>
    <col customWidth="1" min="9" max="9" style="143" width="14.57421875"/>
    <col customWidth="1" min="10" max="10" style="143" width="26.8515625"/>
    <col customWidth="1" min="11" max="11" style="143" width="50.00390625"/>
    <col customWidth="1" min="12" max="12" style="143" width="52.421875"/>
    <col customWidth="1" min="13" max="13" style="143" width="10.7109375"/>
    <col customWidth="1" min="14" max="14" style="143" width="55.140625"/>
    <col customWidth="1" min="15" max="15" style="143" width="31.8515625"/>
    <col customWidth="1" min="16" max="16" style="143" width="23.8515625"/>
    <col customWidth="1" min="17" max="17" style="143" width="46.57421875"/>
    <col customWidth="1" min="18" max="18" style="143" width="24.00390625"/>
    <col customWidth="1" min="19" max="19" style="143" width="20.57421875"/>
    <col customWidth="1" min="20" max="20" style="143" width="22.00390625"/>
    <col customWidth="1" min="21" max="22" style="143" width="26.421875"/>
    <col customWidth="1" hidden="1" min="23" max="23" style="143" width="8.28125"/>
    <col customWidth="1" min="24" max="24" style="143" width="59.7109375"/>
    <col customWidth="1" min="25" max="25" style="143" width="49.140625"/>
    <col customWidth="1" min="26" max="26" style="143" width="11.140625"/>
    <col customWidth="1" min="27" max="30" style="143" width="29.00390625"/>
    <col min="31" max="31" style="143" width="9.140625"/>
    <col customWidth="1" min="32" max="32" style="143" width="34.7109375"/>
    <col min="33" max="33" style="143" width="9.140625"/>
    <col customWidth="1" min="34" max="35" style="143" width="34.421875"/>
    <col min="36" max="36" style="143" width="9.140625"/>
    <col customWidth="1" min="37" max="37" style="143" width="24.57421875"/>
    <col min="38" max="38" style="143" width="9.140625"/>
    <col customWidth="1" min="39" max="39" style="143" width="26.140625"/>
    <col customWidth="1" min="40" max="40" style="143" width="1.7109375"/>
    <col min="41" max="41" style="143" width="9.140625"/>
    <col customWidth="1" min="42" max="43" style="143" width="47.8515625"/>
    <col customWidth="1" min="44" max="44" style="143" width="1.7109375"/>
    <col customWidth="1" min="45" max="45" style="143" width="21.421875"/>
    <col customWidth="1" min="46" max="46" style="143" width="1.7109375"/>
    <col customWidth="1" min="47" max="47" style="143" width="31.28125"/>
    <col customWidth="1" min="48" max="48" style="143" width="1.7109375"/>
    <col min="49" max="50" style="143" width="9.140625"/>
    <col customWidth="1" min="51" max="51" style="143" width="3.7109375"/>
    <col customWidth="1" min="52" max="52" style="143" width="60.8515625"/>
    <col customWidth="1" min="53" max="53" style="143" width="49.28125"/>
    <col customWidth="1" min="54" max="54" style="143" width="35.140625"/>
    <col min="55" max="55" style="143" width="9.140625"/>
    <col customWidth="1" min="56" max="56" style="143" width="1.7109375"/>
    <col customWidth="1" min="57" max="57" style="1048" width="12.57421875"/>
    <col customWidth="1" min="58" max="58" style="1048" width="14.28125"/>
    <col customWidth="1" min="59" max="59" style="143" width="30.7109375"/>
    <col customWidth="1" min="60" max="60" style="253" width="40.7109375"/>
    <col customWidth="1" min="61" max="61" style="253" width="15.00390625"/>
    <col customWidth="1" min="62" max="62" style="253" width="40.7109375"/>
    <col customWidth="1" min="63" max="63" style="253" width="2.7109375"/>
    <col customWidth="1" min="64" max="64" style="253" width="44.7109375"/>
    <col customWidth="1" min="65" max="65" style="253" width="2.7109375"/>
    <col customWidth="1" min="66" max="66" style="253" width="40.7109375"/>
    <col min="67" max="68" style="143" width="9.140625"/>
    <col customWidth="1" min="69" max="69" style="143" width="18.140625"/>
    <col customWidth="1" min="70" max="70" style="143" width="57.8515625"/>
    <col customWidth="1" min="71" max="71" style="143" width="1.7109375"/>
    <col customWidth="1" min="72" max="72" style="143" width="22.57421875"/>
    <col customWidth="1" min="73" max="73" style="143" width="57.8515625"/>
    <col customWidth="1" min="74" max="74" style="143" width="1.7109375"/>
    <col customWidth="1" min="75" max="75" style="143" width="22.57421875"/>
    <col customWidth="1" min="76" max="76" style="143" width="57.8515625"/>
    <col customWidth="1" min="77" max="77" style="143" width="1.7109375"/>
    <col customWidth="1" min="78" max="78" style="143" width="22.57421875"/>
    <col customWidth="1" min="79" max="79" style="143" width="57.8515625"/>
    <col min="80" max="81" style="143" width="9.140625"/>
    <col customWidth="1" min="82" max="82" style="143" width="49.57421875"/>
  </cols>
  <sheetData>
    <row r="1" s="1049" customFormat="1" ht="11.25" customHeight="1">
      <c r="A1" s="1050" t="s">
        <v>1175</v>
      </c>
      <c r="B1" s="1050" t="s">
        <v>1176</v>
      </c>
      <c r="C1" s="1050" t="s">
        <v>1177</v>
      </c>
      <c r="D1" s="1050" t="s">
        <v>1178</v>
      </c>
      <c r="E1" s="1050" t="s">
        <v>1179</v>
      </c>
      <c r="F1" s="1050" t="s">
        <v>1180</v>
      </c>
      <c r="G1" s="1050" t="s">
        <v>1181</v>
      </c>
      <c r="H1" s="1050" t="s">
        <v>1182</v>
      </c>
      <c r="I1" s="1050" t="s">
        <v>1183</v>
      </c>
      <c r="J1" s="1050" t="s">
        <v>1184</v>
      </c>
      <c r="K1" s="1050" t="s">
        <v>1185</v>
      </c>
      <c r="L1" s="1050" t="s">
        <v>1186</v>
      </c>
      <c r="M1" s="1050"/>
      <c r="N1" s="1050" t="s">
        <v>1187</v>
      </c>
      <c r="O1" s="1050" t="s">
        <v>1188</v>
      </c>
      <c r="P1" s="1050" t="s">
        <v>1189</v>
      </c>
      <c r="Q1" s="1050" t="s">
        <v>1190</v>
      </c>
      <c r="R1" s="1050" t="s">
        <v>1191</v>
      </c>
      <c r="S1" s="1050" t="s">
        <v>1192</v>
      </c>
      <c r="T1" s="1050" t="s">
        <v>1193</v>
      </c>
      <c r="U1" s="1050" t="s">
        <v>1194</v>
      </c>
      <c r="V1" s="1050"/>
      <c r="W1" s="1051" t="s">
        <v>1195</v>
      </c>
      <c r="X1" s="1050" t="s">
        <v>1196</v>
      </c>
      <c r="Y1" s="1050" t="s">
        <v>1197</v>
      </c>
      <c r="Z1" s="1050"/>
      <c r="AA1" s="1050" t="s">
        <v>1198</v>
      </c>
      <c r="AB1" s="1050"/>
      <c r="AC1" s="1050" t="s">
        <v>1199</v>
      </c>
      <c r="AD1" s="1050"/>
      <c r="AF1" s="1050" t="s">
        <v>1200</v>
      </c>
      <c r="AH1" s="1050" t="s">
        <v>1201</v>
      </c>
      <c r="AI1" s="1050" t="s">
        <v>1202</v>
      </c>
      <c r="AK1" s="1050" t="s">
        <v>1203</v>
      </c>
      <c r="AM1" s="1050" t="s">
        <v>1204</v>
      </c>
      <c r="AP1" s="1050" t="s">
        <v>1205</v>
      </c>
      <c r="AQ1" s="1050" t="s">
        <v>1206</v>
      </c>
      <c r="AS1" s="1050" t="s">
        <v>1207</v>
      </c>
      <c r="AU1" s="1050" t="s">
        <v>1208</v>
      </c>
      <c r="AW1" s="1050" t="s">
        <v>1209</v>
      </c>
      <c r="AX1" s="1050" t="s">
        <v>1210</v>
      </c>
      <c r="AZ1" s="1052" t="s">
        <v>1211</v>
      </c>
      <c r="BB1" s="1050" t="s">
        <v>1212</v>
      </c>
      <c r="BC1" s="1050"/>
      <c r="BE1" s="1050" t="s">
        <v>1213</v>
      </c>
      <c r="BF1" s="1050" t="s">
        <v>1214</v>
      </c>
      <c r="BH1" s="1053" t="s">
        <v>809</v>
      </c>
      <c r="BI1" s="253"/>
      <c r="BJ1" s="1054" t="s">
        <v>1215</v>
      </c>
      <c r="BK1" s="253"/>
      <c r="BL1" s="1055" t="s">
        <v>908</v>
      </c>
      <c r="BM1" s="253"/>
      <c r="BN1" s="1056" t="s">
        <v>1216</v>
      </c>
      <c r="BS1" s="1049"/>
    </row>
    <row r="2" ht="11.25" customHeight="1">
      <c r="A2" s="143" t="s">
        <v>1217</v>
      </c>
      <c r="B2" s="1057">
        <v>2000</v>
      </c>
      <c r="C2" s="1057">
        <v>2022</v>
      </c>
      <c r="D2" s="1057" t="s">
        <v>66</v>
      </c>
      <c r="E2" s="1058" t="s">
        <v>1218</v>
      </c>
      <c r="F2" s="1058" t="s">
        <v>1219</v>
      </c>
      <c r="G2" s="1058" t="s">
        <v>1220</v>
      </c>
      <c r="H2" s="1058" t="s">
        <v>55</v>
      </c>
      <c r="I2" s="1058" t="s">
        <v>109</v>
      </c>
      <c r="J2" s="1058" t="s">
        <v>1221</v>
      </c>
      <c r="K2" s="1059" t="s">
        <v>1222</v>
      </c>
      <c r="L2" s="1059"/>
      <c r="M2" s="1059">
        <v>1</v>
      </c>
      <c r="N2" s="1060" t="s">
        <v>1223</v>
      </c>
      <c r="O2" s="1058" t="s">
        <v>1224</v>
      </c>
      <c r="P2" s="1061" t="s">
        <v>1225</v>
      </c>
      <c r="Q2" s="1062" t="s">
        <v>1226</v>
      </c>
      <c r="R2" s="1063" t="s">
        <v>1227</v>
      </c>
      <c r="S2" s="1063" t="s">
        <v>1228</v>
      </c>
      <c r="T2" s="1064" t="s">
        <v>1229</v>
      </c>
      <c r="U2" s="1059" t="s">
        <v>1230</v>
      </c>
      <c r="V2" s="1065">
        <v>1</v>
      </c>
      <c r="W2" s="1066"/>
      <c r="X2" s="1066" t="s">
        <v>1231</v>
      </c>
      <c r="Y2" s="1057" t="s">
        <v>1232</v>
      </c>
      <c r="Z2" s="1067"/>
      <c r="AA2" s="1057" t="s">
        <v>1233</v>
      </c>
      <c r="AB2" s="1068" t="s">
        <v>1233</v>
      </c>
      <c r="AC2" s="1057" t="s">
        <v>1234</v>
      </c>
      <c r="AD2" s="1068" t="s">
        <v>1234</v>
      </c>
      <c r="AF2" s="1058" t="s">
        <v>1230</v>
      </c>
      <c r="AH2" s="1058" t="s">
        <v>1235</v>
      </c>
      <c r="AI2" s="1058" t="s">
        <v>1235</v>
      </c>
      <c r="AK2" s="1058" t="s">
        <v>1236</v>
      </c>
      <c r="AM2" s="1058" t="s">
        <v>1237</v>
      </c>
      <c r="AP2" s="840" t="s">
        <v>1231</v>
      </c>
      <c r="AQ2" s="1069" t="s">
        <v>1231</v>
      </c>
      <c r="AS2" s="1057" t="s">
        <v>1238</v>
      </c>
      <c r="AU2" s="1070" t="s">
        <v>1239</v>
      </c>
      <c r="AW2" s="1070" t="s">
        <v>1240</v>
      </c>
      <c r="AX2" s="1070" t="s">
        <v>1240</v>
      </c>
      <c r="AZ2" s="1070" t="s">
        <v>1241</v>
      </c>
      <c r="BB2" s="1070" t="s">
        <v>1242</v>
      </c>
      <c r="BC2" s="1070" t="s">
        <v>1243</v>
      </c>
      <c r="BE2" s="1070">
        <v>2000</v>
      </c>
      <c r="BF2" s="1070" t="s">
        <v>1244</v>
      </c>
    </row>
    <row r="3" ht="11.25" customHeight="1">
      <c r="A3" s="143" t="s">
        <v>1245</v>
      </c>
      <c r="B3" s="1057">
        <v>2001</v>
      </c>
      <c r="C3" s="1057">
        <v>2023</v>
      </c>
      <c r="D3" s="1057" t="s">
        <v>19</v>
      </c>
      <c r="E3" s="1058" t="s">
        <v>1246</v>
      </c>
      <c r="F3" s="1058" t="s">
        <v>1247</v>
      </c>
      <c r="G3" s="1058" t="s">
        <v>1248</v>
      </c>
      <c r="H3" s="1058" t="s">
        <v>1249</v>
      </c>
      <c r="I3" s="1058" t="s">
        <v>110</v>
      </c>
      <c r="J3" s="1058" t="s">
        <v>558</v>
      </c>
      <c r="K3" s="1059" t="s">
        <v>1152</v>
      </c>
      <c r="L3" s="1059">
        <f t="shared" ref="L3:L5" si="49">_xlfn.IFERROR(MATCH(K3,OFFER_METHOD,0),0)</f>
        <v>34</v>
      </c>
      <c r="M3" s="1059">
        <v>2</v>
      </c>
      <c r="N3" s="1060" t="s">
        <v>1250</v>
      </c>
      <c r="O3" s="1058" t="s">
        <v>1251</v>
      </c>
      <c r="P3" s="1061" t="s">
        <v>37</v>
      </c>
      <c r="Q3" s="1062" t="s">
        <v>1252</v>
      </c>
      <c r="R3" s="1063" t="s">
        <v>1253</v>
      </c>
      <c r="S3" s="1063" t="s">
        <v>1254</v>
      </c>
      <c r="T3" s="1064" t="s">
        <v>1255</v>
      </c>
      <c r="U3" s="1059" t="s">
        <v>1256</v>
      </c>
      <c r="V3" s="1065">
        <v>2</v>
      </c>
      <c r="W3" s="1066"/>
      <c r="X3" s="1066" t="s">
        <v>1257</v>
      </c>
      <c r="Y3" s="1057" t="s">
        <v>1232</v>
      </c>
      <c r="Z3" s="1067"/>
      <c r="AA3" s="1057" t="s">
        <v>1258</v>
      </c>
      <c r="AB3" s="1068" t="s">
        <v>1258</v>
      </c>
      <c r="AC3" s="1057" t="s">
        <v>1259</v>
      </c>
      <c r="AD3" s="1068" t="s">
        <v>1259</v>
      </c>
      <c r="AF3" s="1058" t="s">
        <v>1256</v>
      </c>
      <c r="AH3" s="1058" t="s">
        <v>1260</v>
      </c>
      <c r="AI3" s="1058" t="s">
        <v>1261</v>
      </c>
      <c r="AK3" s="1058" t="s">
        <v>1262</v>
      </c>
      <c r="AM3" s="1058" t="s">
        <v>1263</v>
      </c>
      <c r="AP3" s="840" t="s">
        <v>1264</v>
      </c>
      <c r="AQ3" s="1069" t="s">
        <v>1264</v>
      </c>
      <c r="AS3" s="1057" t="s">
        <v>1265</v>
      </c>
      <c r="AU3" s="1070" t="s">
        <v>1266</v>
      </c>
      <c r="AW3" s="1070" t="s">
        <v>1267</v>
      </c>
      <c r="AX3" s="1070" t="s">
        <v>1267</v>
      </c>
      <c r="AZ3" s="1070" t="s">
        <v>1268</v>
      </c>
      <c r="BB3" s="1070" t="s">
        <v>1269</v>
      </c>
      <c r="BC3" s="1070" t="s">
        <v>1243</v>
      </c>
      <c r="BE3" s="1070">
        <v>2001</v>
      </c>
      <c r="BF3" s="1070" t="s">
        <v>1270</v>
      </c>
      <c r="BH3" s="1050" t="s">
        <v>1271</v>
      </c>
      <c r="BJ3" s="1050" t="s">
        <v>1272</v>
      </c>
      <c r="BL3" s="1050" t="s">
        <v>1273</v>
      </c>
      <c r="BN3" s="1050" t="s">
        <v>1274</v>
      </c>
      <c r="BR3" s="1050" t="s">
        <v>1275</v>
      </c>
      <c r="BS3" s="1071"/>
      <c r="BT3" s="253"/>
      <c r="BU3" s="1050" t="s">
        <v>1276</v>
      </c>
      <c r="BV3" s="253"/>
      <c r="BW3" s="63"/>
      <c r="BX3" s="1050" t="s">
        <v>1277</v>
      </c>
      <c r="CA3" s="1050" t="s">
        <v>1278</v>
      </c>
    </row>
    <row r="4" ht="11.25" customHeight="1">
      <c r="A4" s="143" t="s">
        <v>1279</v>
      </c>
      <c r="B4" s="1057">
        <v>2002</v>
      </c>
      <c r="C4" s="1057">
        <v>2024</v>
      </c>
      <c r="E4" s="1058" t="s">
        <v>1280</v>
      </c>
      <c r="F4" s="1058" t="s">
        <v>1281</v>
      </c>
      <c r="H4" s="1058" t="s">
        <v>1282</v>
      </c>
      <c r="I4" s="1058" t="s">
        <v>90</v>
      </c>
      <c r="J4" s="1058" t="s">
        <v>1283</v>
      </c>
      <c r="K4" s="1059" t="s">
        <v>1284</v>
      </c>
      <c r="L4" s="1059">
        <f t="shared" si="49"/>
        <v>0</v>
      </c>
      <c r="M4" s="1059">
        <v>3</v>
      </c>
      <c r="N4" s="1060" t="s">
        <v>1285</v>
      </c>
      <c r="O4" s="1058" t="s">
        <v>1286</v>
      </c>
      <c r="Q4" s="1062" t="s">
        <v>1287</v>
      </c>
      <c r="R4" s="1063" t="s">
        <v>1288</v>
      </c>
      <c r="S4" s="1063" t="s">
        <v>1289</v>
      </c>
      <c r="T4" s="1064" t="s">
        <v>1290</v>
      </c>
      <c r="U4" s="1059" t="s">
        <v>1291</v>
      </c>
      <c r="V4" s="1065">
        <v>3</v>
      </c>
      <c r="W4" s="1066"/>
      <c r="X4" s="1066" t="s">
        <v>1292</v>
      </c>
      <c r="Y4" s="1057" t="s">
        <v>1232</v>
      </c>
      <c r="Z4" s="106"/>
      <c r="AC4" s="1057" t="s">
        <v>1293</v>
      </c>
      <c r="AD4" s="1068" t="s">
        <v>1293</v>
      </c>
      <c r="AF4" s="1058" t="s">
        <v>1291</v>
      </c>
      <c r="AH4" s="1058" t="s">
        <v>1294</v>
      </c>
      <c r="AK4" s="1058" t="s">
        <v>1295</v>
      </c>
      <c r="AM4" s="1058" t="s">
        <v>1296</v>
      </c>
      <c r="AP4" s="840" t="s">
        <v>1257</v>
      </c>
      <c r="AQ4" s="1069" t="s">
        <v>1257</v>
      </c>
      <c r="AS4" s="1057" t="s">
        <v>1297</v>
      </c>
      <c r="AU4" s="1070" t="s">
        <v>1298</v>
      </c>
      <c r="AW4" s="1070" t="s">
        <v>1299</v>
      </c>
      <c r="AX4" s="1070" t="s">
        <v>1299</v>
      </c>
      <c r="AZ4" s="1070" t="s">
        <v>1300</v>
      </c>
      <c r="BB4" s="1070" t="s">
        <v>1301</v>
      </c>
      <c r="BC4" s="1070" t="s">
        <v>1302</v>
      </c>
      <c r="BE4" s="1070">
        <v>2002</v>
      </c>
      <c r="BF4" s="1070" t="s">
        <v>1303</v>
      </c>
      <c r="BH4" s="1072" t="s">
        <v>1304</v>
      </c>
      <c r="BJ4" s="1072" t="s">
        <v>1304</v>
      </c>
      <c r="BL4" s="1072" t="s">
        <v>1304</v>
      </c>
      <c r="BN4" s="1072" t="s">
        <v>1304</v>
      </c>
      <c r="BQ4" s="1073" t="s">
        <v>1305</v>
      </c>
      <c r="BR4" s="840" t="s">
        <v>1306</v>
      </c>
      <c r="BS4" s="840"/>
      <c r="BT4" s="1073" t="s">
        <v>1307</v>
      </c>
      <c r="BU4" s="840" t="s">
        <v>1308</v>
      </c>
      <c r="BV4" s="253"/>
      <c r="BW4" s="1073" t="s">
        <v>1309</v>
      </c>
      <c r="BX4" s="840" t="s">
        <v>1310</v>
      </c>
      <c r="BZ4" s="1073" t="s">
        <v>1311</v>
      </c>
      <c r="CA4" s="840" t="s">
        <v>1312</v>
      </c>
    </row>
    <row r="5" ht="11.25" customHeight="1">
      <c r="A5" s="143" t="s">
        <v>1313</v>
      </c>
      <c r="B5" s="1057">
        <v>2003</v>
      </c>
      <c r="C5" s="1057">
        <v>2025</v>
      </c>
      <c r="E5" s="1058" t="s">
        <v>1314</v>
      </c>
      <c r="F5" s="1058" t="s">
        <v>1315</v>
      </c>
      <c r="H5" s="1058" t="s">
        <v>1316</v>
      </c>
      <c r="I5" s="1058" t="s">
        <v>91</v>
      </c>
      <c r="K5" s="1059" t="s">
        <v>1317</v>
      </c>
      <c r="L5" s="1059">
        <f t="shared" si="49"/>
        <v>0</v>
      </c>
      <c r="M5" s="1059">
        <v>4</v>
      </c>
      <c r="N5" s="1074" t="s">
        <v>1318</v>
      </c>
      <c r="O5" s="1058" t="s">
        <v>1319</v>
      </c>
      <c r="Q5" s="1062" t="s">
        <v>1320</v>
      </c>
      <c r="R5" s="1063" t="s">
        <v>498</v>
      </c>
      <c r="T5" s="1058" t="s">
        <v>1321</v>
      </c>
      <c r="U5" s="1059" t="s">
        <v>1322</v>
      </c>
      <c r="V5" s="1065">
        <v>4</v>
      </c>
      <c r="W5" s="1066"/>
      <c r="X5" s="1066" t="s">
        <v>165</v>
      </c>
      <c r="Y5" s="1057" t="s">
        <v>1323</v>
      </c>
      <c r="Z5" s="106">
        <v>1</v>
      </c>
      <c r="AF5" s="1058" t="s">
        <v>1324</v>
      </c>
      <c r="AH5" s="1058" t="s">
        <v>1325</v>
      </c>
      <c r="AK5" s="1058" t="s">
        <v>1326</v>
      </c>
      <c r="AM5" s="1058" t="s">
        <v>1327</v>
      </c>
      <c r="AP5" s="840" t="s">
        <v>165</v>
      </c>
      <c r="AQ5" s="1069" t="s">
        <v>165</v>
      </c>
      <c r="AU5" s="1070" t="s">
        <v>1328</v>
      </c>
      <c r="AW5" s="1070" t="s">
        <v>1329</v>
      </c>
      <c r="AX5" s="1070" t="s">
        <v>1329</v>
      </c>
      <c r="AZ5" s="1070" t="s">
        <v>1330</v>
      </c>
      <c r="BB5" s="1070" t="s">
        <v>1331</v>
      </c>
      <c r="BC5" s="1070" t="s">
        <v>1332</v>
      </c>
      <c r="BE5" s="1070">
        <v>2003</v>
      </c>
      <c r="BF5" s="1070" t="s">
        <v>1333</v>
      </c>
      <c r="BH5" s="1072" t="s">
        <v>1334</v>
      </c>
      <c r="BJ5" s="1072" t="s">
        <v>1334</v>
      </c>
      <c r="BL5" s="1072" t="s">
        <v>1334</v>
      </c>
      <c r="BN5" s="1072" t="s">
        <v>1335</v>
      </c>
      <c r="BQ5" s="1070">
        <v>4213775</v>
      </c>
      <c r="BR5" s="1072" t="s">
        <v>1231</v>
      </c>
      <c r="BS5" s="1075"/>
      <c r="BT5" s="1070">
        <v>64236871</v>
      </c>
      <c r="BU5" s="1072" t="s">
        <v>226</v>
      </c>
      <c r="BV5" s="253"/>
      <c r="BW5" s="1070">
        <v>4213767</v>
      </c>
      <c r="BX5" s="1072" t="s">
        <v>1336</v>
      </c>
      <c r="BZ5" s="1070">
        <v>64237509</v>
      </c>
      <c r="CA5" s="1076" t="s">
        <v>1337</v>
      </c>
    </row>
    <row r="6" ht="11.25" customHeight="1">
      <c r="A6" s="143" t="s">
        <v>1338</v>
      </c>
      <c r="B6" s="1057">
        <v>2004</v>
      </c>
      <c r="C6" s="1057">
        <v>2026</v>
      </c>
      <c r="E6" s="1058" t="s">
        <v>1339</v>
      </c>
      <c r="F6" s="184"/>
      <c r="H6" s="1058" t="s">
        <v>1340</v>
      </c>
      <c r="I6" s="1058" t="s">
        <v>111</v>
      </c>
      <c r="J6" s="1050" t="s">
        <v>1341</v>
      </c>
      <c r="L6" s="1059">
        <f>SUM(kind_of_control_method_filter)</f>
        <v>34</v>
      </c>
      <c r="N6" s="1074" t="s">
        <v>1342</v>
      </c>
      <c r="O6" s="1058" t="s">
        <v>1343</v>
      </c>
      <c r="R6" s="1063" t="s">
        <v>1226</v>
      </c>
      <c r="T6" s="1058" t="s">
        <v>1344</v>
      </c>
      <c r="U6" s="1059" t="s">
        <v>1324</v>
      </c>
      <c r="V6" s="1065">
        <v>5</v>
      </c>
      <c r="W6" s="1066"/>
      <c r="X6" s="1057" t="s">
        <v>171</v>
      </c>
      <c r="Y6" s="1057" t="s">
        <v>1345</v>
      </c>
      <c r="Z6" s="106"/>
      <c r="AA6" s="905"/>
      <c r="AH6" s="1058" t="s">
        <v>1346</v>
      </c>
      <c r="AK6" s="1058" t="s">
        <v>1347</v>
      </c>
      <c r="AM6" s="1058" t="s">
        <v>1348</v>
      </c>
      <c r="AP6" s="840" t="s">
        <v>171</v>
      </c>
      <c r="AQ6" s="1069" t="s">
        <v>171</v>
      </c>
      <c r="AU6" s="1070" t="s">
        <v>1349</v>
      </c>
      <c r="AW6" s="1070" t="s">
        <v>1350</v>
      </c>
      <c r="AX6" s="1070" t="s">
        <v>1350</v>
      </c>
      <c r="BB6" s="1070" t="s">
        <v>1351</v>
      </c>
      <c r="BC6" s="1070" t="s">
        <v>1332</v>
      </c>
      <c r="BE6" s="1070">
        <v>2004</v>
      </c>
      <c r="BF6" s="1070" t="s">
        <v>1352</v>
      </c>
      <c r="BH6" s="1072" t="s">
        <v>1353</v>
      </c>
      <c r="BJ6" s="1072" t="s">
        <v>1354</v>
      </c>
      <c r="BL6" s="1072" t="s">
        <v>1354</v>
      </c>
      <c r="BN6" s="1072" t="s">
        <v>1355</v>
      </c>
      <c r="BQ6" s="1070">
        <v>4213784</v>
      </c>
      <c r="BR6" s="1076" t="s">
        <v>1264</v>
      </c>
      <c r="BS6" s="1077"/>
      <c r="BT6" s="1070">
        <v>64236872</v>
      </c>
      <c r="BU6" s="1072" t="s">
        <v>231</v>
      </c>
      <c r="BV6" s="253"/>
      <c r="BW6" s="1070">
        <v>4213768</v>
      </c>
      <c r="BX6" s="1072" t="s">
        <v>256</v>
      </c>
      <c r="BZ6" s="1070">
        <v>64237510</v>
      </c>
      <c r="CA6" s="1072" t="s">
        <v>1356</v>
      </c>
    </row>
    <row r="7" ht="11.25" customHeight="1">
      <c r="A7" s="143" t="s">
        <v>1357</v>
      </c>
      <c r="B7" s="1057">
        <v>2005</v>
      </c>
      <c r="E7" s="1058" t="s">
        <v>1358</v>
      </c>
      <c r="F7" s="184"/>
      <c r="H7" s="1058" t="s">
        <v>1359</v>
      </c>
      <c r="I7" s="1058" t="s">
        <v>92</v>
      </c>
      <c r="J7" s="1058" t="s">
        <v>1360</v>
      </c>
      <c r="N7" s="1078" t="s">
        <v>1361</v>
      </c>
      <c r="O7" s="1058" t="s">
        <v>1362</v>
      </c>
      <c r="U7" s="1059" t="s">
        <v>19</v>
      </c>
      <c r="V7" s="1079" t="s">
        <v>92</v>
      </c>
      <c r="W7" s="1066"/>
      <c r="X7" s="1057" t="s">
        <v>177</v>
      </c>
      <c r="Y7" s="1057" t="s">
        <v>1323</v>
      </c>
      <c r="Z7" s="106"/>
      <c r="AA7" s="905"/>
      <c r="AH7" s="1058" t="s">
        <v>1363</v>
      </c>
      <c r="AK7" s="1058" t="s">
        <v>1364</v>
      </c>
      <c r="AM7" s="1058" t="s">
        <v>1365</v>
      </c>
      <c r="AP7" s="840" t="s">
        <v>177</v>
      </c>
      <c r="AQ7" s="1069" t="s">
        <v>177</v>
      </c>
      <c r="AU7" s="1070" t="s">
        <v>1366</v>
      </c>
      <c r="AW7" s="1070" t="s">
        <v>1367</v>
      </c>
      <c r="AX7" s="1070" t="s">
        <v>1367</v>
      </c>
      <c r="AZ7" s="1050" t="s">
        <v>1368</v>
      </c>
      <c r="BB7" s="1070" t="s">
        <v>1369</v>
      </c>
      <c r="BC7" s="1070" t="s">
        <v>1332</v>
      </c>
      <c r="BE7" s="1070">
        <v>2005</v>
      </c>
      <c r="BF7" s="1070" t="s">
        <v>1370</v>
      </c>
      <c r="BH7" s="1072" t="s">
        <v>1371</v>
      </c>
      <c r="BJ7" s="1072" t="s">
        <v>1353</v>
      </c>
      <c r="BL7" s="1072" t="s">
        <v>1353</v>
      </c>
      <c r="BN7" s="1072" t="s">
        <v>1372</v>
      </c>
      <c r="BQ7" s="1070">
        <v>4213781</v>
      </c>
      <c r="BR7" s="1072" t="s">
        <v>1257</v>
      </c>
      <c r="BS7" s="1075"/>
      <c r="BT7" s="1070">
        <v>64236873</v>
      </c>
      <c r="BU7" s="1072" t="s">
        <v>241</v>
      </c>
      <c r="BV7" s="253"/>
      <c r="BW7" s="1070">
        <v>4213769</v>
      </c>
      <c r="BX7" s="1072" t="s">
        <v>1373</v>
      </c>
      <c r="BZ7" s="1070">
        <v>64237511</v>
      </c>
      <c r="CA7" s="1072" t="s">
        <v>271</v>
      </c>
    </row>
    <row r="8" ht="11.25" customHeight="1">
      <c r="A8" s="143" t="s">
        <v>1374</v>
      </c>
      <c r="B8" s="1057">
        <v>2006</v>
      </c>
      <c r="E8" s="1058" t="s">
        <v>1375</v>
      </c>
      <c r="F8" s="184"/>
      <c r="H8" s="1058" t="s">
        <v>1376</v>
      </c>
      <c r="I8" s="1058" t="s">
        <v>93</v>
      </c>
      <c r="J8" s="1058" t="s">
        <v>1377</v>
      </c>
      <c r="N8" s="1080" t="s">
        <v>1378</v>
      </c>
      <c r="O8" s="1058" t="s">
        <v>1379</v>
      </c>
      <c r="V8" s="1079" t="s">
        <v>93</v>
      </c>
      <c r="W8" s="1066"/>
      <c r="X8" s="1057" t="s">
        <v>183</v>
      </c>
      <c r="Y8" s="1057" t="s">
        <v>1323</v>
      </c>
      <c r="Z8" s="106"/>
      <c r="AA8" s="905"/>
      <c r="AK8" s="1058" t="s">
        <v>1380</v>
      </c>
      <c r="AP8" s="840" t="s">
        <v>183</v>
      </c>
      <c r="AQ8" s="1069" t="s">
        <v>183</v>
      </c>
      <c r="AU8" s="1070" t="s">
        <v>1381</v>
      </c>
      <c r="AW8" s="1070" t="s">
        <v>1382</v>
      </c>
      <c r="AX8" s="1070" t="s">
        <v>1382</v>
      </c>
      <c r="AZ8" s="1070" t="s">
        <v>1383</v>
      </c>
      <c r="BB8" s="1070" t="s">
        <v>1384</v>
      </c>
      <c r="BC8" s="1070" t="s">
        <v>1332</v>
      </c>
      <c r="BE8" s="1070">
        <v>2006</v>
      </c>
      <c r="BF8" s="1070" t="s">
        <v>1385</v>
      </c>
      <c r="BH8" s="1072" t="s">
        <v>1386</v>
      </c>
      <c r="BJ8" s="1072" t="s">
        <v>1387</v>
      </c>
      <c r="BL8" s="1072" t="s">
        <v>1387</v>
      </c>
      <c r="BN8" s="1072" t="s">
        <v>1388</v>
      </c>
      <c r="BQ8" s="1070">
        <v>4213776</v>
      </c>
      <c r="BR8" s="1072" t="s">
        <v>165</v>
      </c>
      <c r="BS8" s="1075"/>
      <c r="BT8" s="1070">
        <v>64236874</v>
      </c>
      <c r="BU8" s="1076" t="s">
        <v>1389</v>
      </c>
      <c r="BV8" s="253"/>
      <c r="BW8" s="1070">
        <v>4213770</v>
      </c>
      <c r="BX8" s="1076" t="s">
        <v>1390</v>
      </c>
      <c r="BZ8" s="1070">
        <v>64237512</v>
      </c>
      <c r="CA8" s="1072" t="s">
        <v>266</v>
      </c>
    </row>
    <row r="9" ht="11.25" customHeight="1">
      <c r="A9" s="143" t="s">
        <v>1391</v>
      </c>
      <c r="B9" s="1057">
        <v>2007</v>
      </c>
      <c r="E9" s="1058" t="s">
        <v>1392</v>
      </c>
      <c r="F9" s="184"/>
      <c r="G9" s="1050" t="s">
        <v>1393</v>
      </c>
      <c r="H9" s="1050" t="s">
        <v>1394</v>
      </c>
      <c r="I9" s="1058" t="s">
        <v>112</v>
      </c>
      <c r="O9" s="1058" t="s">
        <v>1395</v>
      </c>
      <c r="V9" s="1079" t="s">
        <v>112</v>
      </c>
      <c r="W9" s="1066"/>
      <c r="X9" s="1057" t="s">
        <v>189</v>
      </c>
      <c r="Y9" s="1057" t="s">
        <v>1232</v>
      </c>
      <c r="Z9" s="106">
        <v>1</v>
      </c>
      <c r="AA9" s="905"/>
      <c r="AK9" s="1058" t="s">
        <v>1396</v>
      </c>
      <c r="AP9" s="840" t="s">
        <v>1397</v>
      </c>
      <c r="AQ9" s="1069" t="s">
        <v>1397</v>
      </c>
      <c r="AW9" s="1070" t="s">
        <v>1398</v>
      </c>
      <c r="AX9" s="1070" t="s">
        <v>1398</v>
      </c>
      <c r="AZ9" s="1070" t="s">
        <v>1399</v>
      </c>
      <c r="BB9" s="1070" t="s">
        <v>1400</v>
      </c>
      <c r="BC9" s="1070" t="s">
        <v>1332</v>
      </c>
      <c r="BE9" s="1070">
        <v>2007</v>
      </c>
      <c r="BF9" s="1070" t="s">
        <v>1401</v>
      </c>
      <c r="BH9" s="1072" t="s">
        <v>1402</v>
      </c>
      <c r="BJ9" s="1072" t="s">
        <v>1403</v>
      </c>
      <c r="BL9" s="1072" t="s">
        <v>1403</v>
      </c>
      <c r="BN9" s="1072" t="s">
        <v>1404</v>
      </c>
      <c r="BQ9" s="1070">
        <v>4213777</v>
      </c>
      <c r="BR9" s="1072" t="s">
        <v>171</v>
      </c>
      <c r="BS9" s="1075"/>
      <c r="BT9" s="1070">
        <v>64236875</v>
      </c>
      <c r="BU9" s="1072" t="s">
        <v>246</v>
      </c>
      <c r="BV9" s="253"/>
      <c r="BW9" s="63"/>
      <c r="BX9" s="63"/>
    </row>
    <row r="10" ht="11.25" customHeight="1">
      <c r="A10" s="143" t="s">
        <v>1405</v>
      </c>
      <c r="B10" s="1057">
        <v>2008</v>
      </c>
      <c r="E10" s="1058" t="s">
        <v>1406</v>
      </c>
      <c r="F10" s="184"/>
      <c r="G10" s="1058" t="s">
        <v>1407</v>
      </c>
      <c r="H10" s="1058" t="s">
        <v>1408</v>
      </c>
      <c r="I10" s="1058" t="s">
        <v>99</v>
      </c>
      <c r="J10" s="1050" t="s">
        <v>1409</v>
      </c>
      <c r="K10" s="1050" t="s">
        <v>1410</v>
      </c>
      <c r="O10" s="1058" t="s">
        <v>1411</v>
      </c>
      <c r="V10" s="1081" t="s">
        <v>99</v>
      </c>
      <c r="W10" s="1082"/>
      <c r="X10" s="1082" t="s">
        <v>1412</v>
      </c>
      <c r="Y10" s="1083" t="s">
        <v>1413</v>
      </c>
      <c r="Z10" s="106"/>
      <c r="AP10" s="840" t="s">
        <v>1412</v>
      </c>
      <c r="AQ10" s="1069" t="s">
        <v>1412</v>
      </c>
      <c r="AW10" s="1070" t="s">
        <v>1414</v>
      </c>
      <c r="AX10" s="1070" t="s">
        <v>1414</v>
      </c>
      <c r="AZ10" s="1070" t="s">
        <v>1415</v>
      </c>
      <c r="BB10" s="1070" t="s">
        <v>1416</v>
      </c>
      <c r="BC10" s="1070" t="s">
        <v>1332</v>
      </c>
      <c r="BE10" s="1070">
        <v>2008</v>
      </c>
      <c r="BF10" s="1070" t="s">
        <v>1417</v>
      </c>
      <c r="BH10" s="1072" t="s">
        <v>1418</v>
      </c>
      <c r="BJ10" s="1072" t="s">
        <v>1419</v>
      </c>
      <c r="BL10" s="1072" t="s">
        <v>1419</v>
      </c>
      <c r="BN10" s="1072" t="s">
        <v>1420</v>
      </c>
      <c r="BQ10" s="1070">
        <v>4213778</v>
      </c>
      <c r="BR10" s="1072" t="s">
        <v>177</v>
      </c>
      <c r="BS10" s="1075"/>
      <c r="BT10" s="1070">
        <v>64236876</v>
      </c>
      <c r="BU10" s="1072" t="s">
        <v>221</v>
      </c>
      <c r="BV10" s="253"/>
      <c r="BW10" s="63"/>
      <c r="BX10" s="63"/>
    </row>
    <row r="11" ht="11.25" customHeight="1">
      <c r="A11" s="143" t="s">
        <v>1421</v>
      </c>
      <c r="B11" s="1057">
        <v>2009</v>
      </c>
      <c r="E11" s="1058" t="s">
        <v>1422</v>
      </c>
      <c r="F11" s="184"/>
      <c r="G11" s="1058" t="s">
        <v>1423</v>
      </c>
      <c r="H11" s="1058" t="s">
        <v>1424</v>
      </c>
      <c r="I11" s="1058" t="s">
        <v>148</v>
      </c>
      <c r="J11" s="1058" t="s">
        <v>1425</v>
      </c>
      <c r="K11" s="1084" t="s">
        <v>1426</v>
      </c>
      <c r="O11" s="1058" t="s">
        <v>1427</v>
      </c>
      <c r="V11" s="1079" t="s">
        <v>148</v>
      </c>
      <c r="W11" s="1085"/>
      <c r="X11" s="1066" t="s">
        <v>1397</v>
      </c>
      <c r="Y11" s="1057" t="s">
        <v>1428</v>
      </c>
      <c r="Z11" s="106"/>
      <c r="AP11" s="840" t="s">
        <v>189</v>
      </c>
      <c r="AQ11" s="1086" t="s">
        <v>189</v>
      </c>
      <c r="AW11" s="1070" t="s">
        <v>1429</v>
      </c>
      <c r="AX11" s="1070" t="s">
        <v>1429</v>
      </c>
      <c r="AZ11" s="1070" t="s">
        <v>1430</v>
      </c>
      <c r="BB11" s="1070" t="s">
        <v>1431</v>
      </c>
      <c r="BC11" s="1070" t="s">
        <v>1332</v>
      </c>
      <c r="BE11" s="1070">
        <v>2009</v>
      </c>
      <c r="BF11" s="1070" t="s">
        <v>1432</v>
      </c>
      <c r="BH11" s="1072" t="s">
        <v>1433</v>
      </c>
      <c r="BJ11" s="1072" t="s">
        <v>1402</v>
      </c>
      <c r="BL11" s="1072" t="s">
        <v>1402</v>
      </c>
      <c r="BN11" s="1072" t="s">
        <v>1434</v>
      </c>
      <c r="BQ11" s="1070">
        <v>4213780</v>
      </c>
      <c r="BR11" s="1072" t="s">
        <v>183</v>
      </c>
      <c r="BS11" s="1075"/>
      <c r="BW11" s="63"/>
      <c r="BX11" s="63"/>
    </row>
    <row r="12" ht="11.25" customHeight="1">
      <c r="A12" s="143" t="s">
        <v>1435</v>
      </c>
      <c r="B12" s="1057">
        <v>2010</v>
      </c>
      <c r="E12" s="1058" t="s">
        <v>1436</v>
      </c>
      <c r="F12" s="184"/>
      <c r="G12" s="1058" t="s">
        <v>1424</v>
      </c>
      <c r="I12" s="1058" t="s">
        <v>149</v>
      </c>
      <c r="J12" s="1058" t="s">
        <v>1437</v>
      </c>
      <c r="K12" s="1084" t="s">
        <v>1438</v>
      </c>
      <c r="O12" s="1058" t="s">
        <v>1226</v>
      </c>
      <c r="V12" s="1079" t="s">
        <v>149</v>
      </c>
      <c r="W12" s="1086"/>
      <c r="X12" s="1066" t="s">
        <v>1439</v>
      </c>
      <c r="Y12" s="1057" t="s">
        <v>1232</v>
      </c>
      <c r="AP12" s="840"/>
      <c r="AW12" s="1070" t="s">
        <v>148</v>
      </c>
      <c r="AX12" s="1070" t="s">
        <v>148</v>
      </c>
      <c r="AZ12" s="1070" t="s">
        <v>1440</v>
      </c>
      <c r="BB12" s="1070" t="s">
        <v>1441</v>
      </c>
      <c r="BC12" s="1070" t="s">
        <v>1332</v>
      </c>
      <c r="BE12" s="1070">
        <v>2010</v>
      </c>
      <c r="BF12" s="1070" t="s">
        <v>1442</v>
      </c>
      <c r="BH12" s="1072" t="s">
        <v>1443</v>
      </c>
      <c r="BJ12" s="1072" t="s">
        <v>1444</v>
      </c>
      <c r="BL12" s="1072" t="s">
        <v>1444</v>
      </c>
      <c r="BN12" s="1072" t="s">
        <v>1445</v>
      </c>
      <c r="BQ12" s="1070">
        <v>4213779</v>
      </c>
      <c r="BR12" s="1072" t="s">
        <v>1397</v>
      </c>
      <c r="BS12" s="1075"/>
      <c r="BT12" s="253"/>
      <c r="BU12" s="253"/>
      <c r="BV12" s="253"/>
      <c r="BW12" s="63"/>
      <c r="BX12" s="63"/>
    </row>
    <row r="13" ht="11.25" customHeight="1">
      <c r="A13" s="143" t="s">
        <v>1446</v>
      </c>
      <c r="B13" s="1057">
        <v>2011</v>
      </c>
      <c r="E13" s="1058" t="s">
        <v>1447</v>
      </c>
      <c r="F13" s="184"/>
      <c r="I13" s="1058" t="s">
        <v>150</v>
      </c>
      <c r="K13" s="1084" t="s">
        <v>1396</v>
      </c>
      <c r="V13" s="1079" t="s">
        <v>150</v>
      </c>
      <c r="W13" s="1086"/>
      <c r="X13" s="1086"/>
      <c r="Y13" s="1086"/>
      <c r="AW13" s="1070" t="s">
        <v>149</v>
      </c>
      <c r="AX13" s="1070" t="s">
        <v>149</v>
      </c>
      <c r="BB13" s="1070" t="s">
        <v>1448</v>
      </c>
      <c r="BC13" s="1070" t="s">
        <v>1449</v>
      </c>
      <c r="BE13" s="1070">
        <v>2011</v>
      </c>
      <c r="BF13" s="1070" t="s">
        <v>1450</v>
      </c>
      <c r="BH13" s="1072" t="s">
        <v>1451</v>
      </c>
      <c r="BJ13" s="1072" t="s">
        <v>1433</v>
      </c>
      <c r="BL13" s="1072" t="s">
        <v>1433</v>
      </c>
      <c r="BN13" s="1072" t="s">
        <v>1452</v>
      </c>
      <c r="BQ13" s="1070">
        <v>4213783</v>
      </c>
      <c r="BR13" s="1072" t="s">
        <v>1412</v>
      </c>
      <c r="BS13" s="1075"/>
      <c r="BT13" s="253"/>
      <c r="BU13" s="253"/>
      <c r="BV13" s="253"/>
      <c r="BW13" s="253"/>
      <c r="BX13" s="63"/>
    </row>
    <row r="14" ht="11.25" customHeight="1">
      <c r="A14" s="143" t="s">
        <v>1453</v>
      </c>
      <c r="B14" s="1057">
        <v>2012</v>
      </c>
      <c r="I14" s="1058" t="s">
        <v>151</v>
      </c>
      <c r="J14" s="1050" t="s">
        <v>1454</v>
      </c>
      <c r="N14" s="1050" t="s">
        <v>1455</v>
      </c>
      <c r="V14" s="1065">
        <v>13</v>
      </c>
      <c r="W14" s="1066"/>
      <c r="X14" s="1066" t="s">
        <v>1264</v>
      </c>
      <c r="Y14" s="1057" t="s">
        <v>1232</v>
      </c>
      <c r="AW14" s="1070" t="s">
        <v>150</v>
      </c>
      <c r="AX14" s="1070" t="s">
        <v>150</v>
      </c>
      <c r="AZ14" s="1050" t="s">
        <v>1456</v>
      </c>
      <c r="BB14" s="1070" t="s">
        <v>1457</v>
      </c>
      <c r="BC14" s="1070" t="s">
        <v>1449</v>
      </c>
      <c r="BE14" s="1070">
        <v>2012</v>
      </c>
      <c r="BH14" s="1072" t="s">
        <v>1372</v>
      </c>
      <c r="BJ14" s="1087" t="s">
        <v>1458</v>
      </c>
      <c r="BL14" s="1087" t="s">
        <v>1458</v>
      </c>
      <c r="BN14" s="1072" t="s">
        <v>1459</v>
      </c>
      <c r="BQ14" s="1070">
        <v>4213782</v>
      </c>
      <c r="BR14" s="1072" t="s">
        <v>189</v>
      </c>
      <c r="BS14" s="1075"/>
      <c r="BT14" s="253"/>
      <c r="BU14" s="253"/>
      <c r="BV14" s="253"/>
      <c r="BW14" s="253"/>
      <c r="BX14" s="63"/>
    </row>
    <row r="15" ht="19.5" customHeight="1">
      <c r="A15" s="143" t="s">
        <v>1460</v>
      </c>
      <c r="B15" s="1057">
        <v>2013</v>
      </c>
      <c r="E15" s="1088" t="s">
        <v>1461</v>
      </c>
      <c r="G15" s="1050" t="s">
        <v>1462</v>
      </c>
      <c r="H15" s="1050" t="s">
        <v>1463</v>
      </c>
      <c r="I15" s="1059" t="s">
        <v>152</v>
      </c>
      <c r="J15" s="1086" t="s">
        <v>585</v>
      </c>
      <c r="N15" s="1089" t="s">
        <v>1464</v>
      </c>
      <c r="X15" s="840"/>
      <c r="AW15" s="1070" t="s">
        <v>151</v>
      </c>
      <c r="AX15" s="1070" t="s">
        <v>151</v>
      </c>
      <c r="AZ15" s="1070" t="s">
        <v>1383</v>
      </c>
      <c r="BB15" s="1070" t="s">
        <v>1465</v>
      </c>
      <c r="BC15" s="1070" t="s">
        <v>1449</v>
      </c>
      <c r="BE15" s="1070">
        <v>2013</v>
      </c>
      <c r="BH15" s="1072" t="s">
        <v>1388</v>
      </c>
      <c r="BJ15" s="1087" t="s">
        <v>1466</v>
      </c>
      <c r="BL15" s="1087" t="s">
        <v>1466</v>
      </c>
      <c r="BN15" s="1072" t="s">
        <v>1467</v>
      </c>
      <c r="BR15" s="253"/>
      <c r="BS15" s="253"/>
      <c r="BT15" s="253"/>
      <c r="BU15" s="253"/>
      <c r="BV15" s="253"/>
      <c r="BW15" s="253"/>
      <c r="BX15" s="63"/>
    </row>
    <row r="16" ht="21" customHeight="1">
      <c r="A16" s="1090" t="s">
        <v>1468</v>
      </c>
      <c r="B16" s="1057">
        <v>2014</v>
      </c>
      <c r="E16" s="1091" t="s">
        <v>1469</v>
      </c>
      <c r="G16" s="1058" t="s">
        <v>1470</v>
      </c>
      <c r="H16" s="1058" t="s">
        <v>1471</v>
      </c>
      <c r="I16" s="1059" t="s">
        <v>1472</v>
      </c>
      <c r="J16" s="1086" t="s">
        <v>558</v>
      </c>
      <c r="N16" s="1089" t="s">
        <v>1473</v>
      </c>
      <c r="AW16" s="1070" t="s">
        <v>152</v>
      </c>
      <c r="AX16" s="1070" t="s">
        <v>152</v>
      </c>
      <c r="AZ16" s="1070" t="s">
        <v>1399</v>
      </c>
      <c r="BB16" s="1070" t="s">
        <v>1474</v>
      </c>
      <c r="BC16" s="1070" t="s">
        <v>1449</v>
      </c>
      <c r="BE16" s="1070">
        <v>2014</v>
      </c>
      <c r="BH16" s="1072" t="s">
        <v>1404</v>
      </c>
      <c r="BJ16" s="1087" t="s">
        <v>1475</v>
      </c>
      <c r="BL16" s="1087" t="s">
        <v>1475</v>
      </c>
      <c r="BN16" s="1072" t="s">
        <v>1476</v>
      </c>
      <c r="BR16" s="253"/>
      <c r="BS16" s="253"/>
      <c r="BT16" s="253"/>
      <c r="BU16" s="253"/>
      <c r="BV16" s="253"/>
      <c r="BW16" s="253"/>
      <c r="BX16" s="63"/>
    </row>
    <row r="17" ht="21" customHeight="1">
      <c r="A17" s="143" t="s">
        <v>1477</v>
      </c>
      <c r="B17" s="1057">
        <v>2015</v>
      </c>
      <c r="G17" s="1058" t="s">
        <v>1424</v>
      </c>
      <c r="H17" s="1058" t="s">
        <v>1424</v>
      </c>
      <c r="I17" s="1058" t="s">
        <v>1478</v>
      </c>
      <c r="N17" s="1089" t="s">
        <v>1479</v>
      </c>
      <c r="X17" s="840"/>
      <c r="AW17" s="1070" t="s">
        <v>1472</v>
      </c>
      <c r="AX17" s="1070" t="s">
        <v>1472</v>
      </c>
      <c r="AZ17" s="1070" t="s">
        <v>1480</v>
      </c>
      <c r="BB17" s="1070" t="s">
        <v>1481</v>
      </c>
      <c r="BC17" s="1070" t="s">
        <v>1332</v>
      </c>
      <c r="BE17" s="1070">
        <v>2015</v>
      </c>
      <c r="BH17" s="1072" t="s">
        <v>1420</v>
      </c>
      <c r="BJ17" s="1087" t="s">
        <v>1482</v>
      </c>
      <c r="BL17" s="1087" t="s">
        <v>1482</v>
      </c>
      <c r="BN17" s="1072" t="s">
        <v>1483</v>
      </c>
      <c r="BR17" s="1050" t="s">
        <v>1275</v>
      </c>
      <c r="BS17" s="1071"/>
      <c r="BU17" s="1050" t="s">
        <v>1484</v>
      </c>
      <c r="BV17" s="253"/>
      <c r="BW17" s="63"/>
      <c r="BX17" s="1050" t="s">
        <v>1485</v>
      </c>
      <c r="CA17" s="1050" t="s">
        <v>1486</v>
      </c>
      <c r="CD17" s="1050" t="s">
        <v>1487</v>
      </c>
    </row>
    <row r="18" ht="21" customHeight="1">
      <c r="A18" s="143" t="s">
        <v>1488</v>
      </c>
      <c r="B18" s="1057">
        <v>2016</v>
      </c>
      <c r="E18" s="1092" t="s">
        <v>1489</v>
      </c>
      <c r="I18" s="1058" t="s">
        <v>1490</v>
      </c>
      <c r="N18" s="1089" t="s">
        <v>1491</v>
      </c>
      <c r="X18" s="840"/>
      <c r="AW18" s="1070" t="s">
        <v>1478</v>
      </c>
      <c r="AX18" s="1070" t="s">
        <v>1478</v>
      </c>
      <c r="BB18" s="1070" t="s">
        <v>1492</v>
      </c>
      <c r="BC18" s="1070" t="s">
        <v>1332</v>
      </c>
      <c r="BE18" s="1070">
        <v>2016</v>
      </c>
      <c r="BH18" s="1072" t="s">
        <v>1434</v>
      </c>
      <c r="BJ18" s="1087" t="s">
        <v>1493</v>
      </c>
      <c r="BL18" s="1087" t="s">
        <v>1493</v>
      </c>
      <c r="BN18" s="1072" t="s">
        <v>1494</v>
      </c>
      <c r="BQ18" s="1073" t="s">
        <v>1305</v>
      </c>
      <c r="BR18" s="840" t="s">
        <v>1306</v>
      </c>
      <c r="BS18" s="840"/>
      <c r="BT18" s="1073" t="s">
        <v>1495</v>
      </c>
      <c r="BU18" s="840" t="s">
        <v>1496</v>
      </c>
      <c r="BV18" s="253"/>
      <c r="BW18" s="1073" t="s">
        <v>1497</v>
      </c>
      <c r="BX18" s="840" t="s">
        <v>1498</v>
      </c>
      <c r="BZ18" s="1073" t="s">
        <v>1499</v>
      </c>
      <c r="CA18" s="840" t="s">
        <v>1500</v>
      </c>
      <c r="CC18" s="1073" t="s">
        <v>1501</v>
      </c>
      <c r="CD18" s="840" t="s">
        <v>1502</v>
      </c>
    </row>
    <row r="19" ht="21" customHeight="1">
      <c r="A19" s="1090" t="s">
        <v>1503</v>
      </c>
      <c r="B19" s="1057">
        <v>2017</v>
      </c>
      <c r="E19" s="143" t="s">
        <v>164</v>
      </c>
      <c r="I19" s="1058" t="s">
        <v>1504</v>
      </c>
      <c r="N19" s="1089" t="s">
        <v>1505</v>
      </c>
      <c r="X19" s="840"/>
      <c r="AW19" s="1070" t="s">
        <v>1490</v>
      </c>
      <c r="AX19" s="1070" t="s">
        <v>1490</v>
      </c>
      <c r="AZ19" s="1050" t="s">
        <v>1506</v>
      </c>
      <c r="BB19" s="1070" t="s">
        <v>1507</v>
      </c>
      <c r="BC19" s="1070" t="s">
        <v>1332</v>
      </c>
      <c r="BE19" s="1070">
        <v>2017</v>
      </c>
      <c r="BH19" s="1072" t="s">
        <v>1508</v>
      </c>
      <c r="BJ19" s="1087" t="s">
        <v>1509</v>
      </c>
      <c r="BL19" s="1087" t="s">
        <v>1509</v>
      </c>
      <c r="BQ19" s="1070">
        <v>4190064</v>
      </c>
      <c r="BR19" s="1072" t="s">
        <v>1510</v>
      </c>
      <c r="BS19" s="1075"/>
      <c r="BT19" s="1070">
        <v>4189671</v>
      </c>
      <c r="BU19" s="1072" t="s">
        <v>1511</v>
      </c>
      <c r="BV19" s="253"/>
      <c r="BW19" s="1070">
        <v>4189706</v>
      </c>
      <c r="BX19" s="1072" t="s">
        <v>1512</v>
      </c>
      <c r="BZ19" s="1070">
        <v>4189714</v>
      </c>
      <c r="CA19" s="1072" t="s">
        <v>1513</v>
      </c>
      <c r="CC19" s="1070">
        <v>4189708</v>
      </c>
      <c r="CD19" s="1072" t="s">
        <v>1514</v>
      </c>
    </row>
    <row r="20" ht="21" customHeight="1">
      <c r="A20" s="143" t="s">
        <v>1515</v>
      </c>
      <c r="B20" s="1057">
        <v>2018</v>
      </c>
      <c r="E20" s="143" t="s">
        <v>1264</v>
      </c>
      <c r="I20" s="1058" t="s">
        <v>1516</v>
      </c>
      <c r="N20" s="1089" t="s">
        <v>1517</v>
      </c>
      <c r="AW20" s="1070" t="s">
        <v>1504</v>
      </c>
      <c r="AX20" s="1070" t="s">
        <v>1504</v>
      </c>
      <c r="AZ20" s="1070" t="s">
        <v>1518</v>
      </c>
      <c r="BB20" s="1070" t="s">
        <v>1519</v>
      </c>
      <c r="BC20" s="1070" t="s">
        <v>1449</v>
      </c>
      <c r="BE20" s="1070">
        <v>2018</v>
      </c>
      <c r="BH20" s="1072" t="s">
        <v>1445</v>
      </c>
      <c r="BJ20" s="1072" t="s">
        <v>1372</v>
      </c>
      <c r="BL20" s="1072" t="s">
        <v>1372</v>
      </c>
      <c r="BQ20" s="1070">
        <v>4190065</v>
      </c>
      <c r="BR20" s="1072" t="s">
        <v>1520</v>
      </c>
      <c r="BS20" s="1075"/>
      <c r="BT20" s="1070">
        <v>4189672</v>
      </c>
      <c r="BU20" s="1072" t="s">
        <v>1521</v>
      </c>
      <c r="BV20" s="253"/>
      <c r="BW20" s="1070">
        <v>4189705</v>
      </c>
      <c r="BX20" s="1072" t="s">
        <v>1522</v>
      </c>
      <c r="BZ20" s="1070">
        <v>4189713</v>
      </c>
      <c r="CA20" s="1072" t="s">
        <v>1522</v>
      </c>
      <c r="CC20" s="1070">
        <v>4189709</v>
      </c>
      <c r="CD20" s="1072" t="s">
        <v>1523</v>
      </c>
    </row>
    <row r="21" ht="21" customHeight="1">
      <c r="A21" s="143" t="s">
        <v>1524</v>
      </c>
      <c r="B21" s="1057">
        <v>2019</v>
      </c>
      <c r="I21" s="1058" t="s">
        <v>1525</v>
      </c>
      <c r="N21" s="1089" t="s">
        <v>1526</v>
      </c>
      <c r="AW21" s="1070" t="s">
        <v>1516</v>
      </c>
      <c r="AX21" s="1070" t="s">
        <v>1516</v>
      </c>
      <c r="AZ21" s="1070" t="s">
        <v>1527</v>
      </c>
      <c r="BB21" s="1070" t="s">
        <v>1528</v>
      </c>
      <c r="BC21" s="1070" t="s">
        <v>1332</v>
      </c>
      <c r="BE21" s="1070">
        <v>2019</v>
      </c>
      <c r="BH21" s="1072" t="s">
        <v>1452</v>
      </c>
      <c r="BJ21" s="1072" t="s">
        <v>1388</v>
      </c>
      <c r="BL21" s="1072" t="s">
        <v>1388</v>
      </c>
      <c r="BQ21" s="1070">
        <v>4190066</v>
      </c>
      <c r="BR21" s="1072" t="s">
        <v>1529</v>
      </c>
      <c r="BS21" s="1075"/>
      <c r="BT21" s="1070">
        <v>4189673</v>
      </c>
      <c r="BU21" s="1072" t="s">
        <v>1530</v>
      </c>
      <c r="BV21" s="253"/>
      <c r="BW21" s="1070">
        <v>4189707</v>
      </c>
      <c r="BX21" s="1072" t="s">
        <v>1531</v>
      </c>
      <c r="BZ21" s="1070">
        <v>4189712</v>
      </c>
      <c r="CA21" s="1072" t="s">
        <v>1532</v>
      </c>
      <c r="CC21" s="1070">
        <v>4189710</v>
      </c>
      <c r="CD21" s="1072" t="s">
        <v>1533</v>
      </c>
    </row>
    <row r="22" ht="21" customHeight="1">
      <c r="A22" s="143" t="s">
        <v>1534</v>
      </c>
      <c r="B22" s="1057">
        <v>2020</v>
      </c>
      <c r="N22" s="1089" t="s">
        <v>1535</v>
      </c>
      <c r="AW22" s="1070" t="s">
        <v>1525</v>
      </c>
      <c r="AX22" s="1070" t="s">
        <v>1525</v>
      </c>
      <c r="AZ22" s="1070" t="s">
        <v>1536</v>
      </c>
      <c r="BB22" s="1070" t="s">
        <v>1537</v>
      </c>
      <c r="BC22" s="1070" t="s">
        <v>1332</v>
      </c>
      <c r="BE22" s="1070">
        <v>2020</v>
      </c>
      <c r="BH22" s="1072" t="s">
        <v>1459</v>
      </c>
      <c r="BJ22" s="1072" t="s">
        <v>1404</v>
      </c>
      <c r="BL22" s="1072" t="s">
        <v>1404</v>
      </c>
      <c r="BQ22" s="1070">
        <v>4190067</v>
      </c>
      <c r="BR22" s="1072" t="s">
        <v>1538</v>
      </c>
      <c r="BS22" s="1075"/>
      <c r="BT22" s="1070">
        <v>4189674</v>
      </c>
      <c r="BU22" s="1072" t="s">
        <v>1539</v>
      </c>
      <c r="BV22" s="253"/>
      <c r="BW22" s="253"/>
      <c r="CC22" s="1070">
        <v>4189711</v>
      </c>
      <c r="CD22" s="1072" t="s">
        <v>295</v>
      </c>
    </row>
    <row r="23" ht="21" customHeight="1">
      <c r="A23" s="143" t="s">
        <v>1540</v>
      </c>
      <c r="B23" s="1057">
        <v>2021</v>
      </c>
      <c r="AW23" s="1070" t="s">
        <v>1541</v>
      </c>
      <c r="AX23" s="1070" t="s">
        <v>1541</v>
      </c>
      <c r="AZ23" s="1070" t="s">
        <v>1542</v>
      </c>
      <c r="BB23" s="1070" t="s">
        <v>1543</v>
      </c>
      <c r="BC23" s="1070" t="s">
        <v>1243</v>
      </c>
      <c r="BE23" s="1070">
        <v>2021</v>
      </c>
      <c r="BH23" s="1072" t="s">
        <v>1467</v>
      </c>
      <c r="BJ23" s="1072" t="s">
        <v>1420</v>
      </c>
      <c r="BL23" s="1072" t="s">
        <v>1420</v>
      </c>
      <c r="BQ23" s="1070">
        <v>4190068</v>
      </c>
      <c r="BR23" s="1072" t="s">
        <v>1544</v>
      </c>
      <c r="BS23" s="1075"/>
      <c r="BT23" s="1070">
        <v>4189675</v>
      </c>
      <c r="BU23" s="1072" t="s">
        <v>1545</v>
      </c>
      <c r="BV23" s="253"/>
      <c r="BW23" s="253"/>
      <c r="CC23" s="1070">
        <v>5110778</v>
      </c>
      <c r="CD23" s="1072" t="s">
        <v>1546</v>
      </c>
    </row>
    <row r="24" ht="21" customHeight="1">
      <c r="A24" s="143" t="s">
        <v>1547</v>
      </c>
      <c r="B24" s="1057">
        <v>2022</v>
      </c>
      <c r="AW24" s="1070" t="s">
        <v>1548</v>
      </c>
      <c r="AX24" s="1070" t="s">
        <v>1548</v>
      </c>
      <c r="AZ24" s="1070" t="s">
        <v>1549</v>
      </c>
      <c r="BB24" s="1070" t="s">
        <v>1550</v>
      </c>
      <c r="BC24" s="1070" t="s">
        <v>1551</v>
      </c>
      <c r="BE24" s="1070">
        <v>2022</v>
      </c>
      <c r="BH24" s="1072" t="s">
        <v>1476</v>
      </c>
      <c r="BJ24" s="1072" t="s">
        <v>1434</v>
      </c>
      <c r="BL24" s="1072" t="s">
        <v>1434</v>
      </c>
      <c r="BQ24" s="1070">
        <v>4190069</v>
      </c>
      <c r="BR24" s="1072" t="s">
        <v>1552</v>
      </c>
      <c r="BS24" s="1075"/>
      <c r="BT24" s="1070">
        <v>4189676</v>
      </c>
      <c r="BU24" s="1072" t="s">
        <v>1553</v>
      </c>
      <c r="BV24" s="253"/>
      <c r="BW24" s="253"/>
      <c r="CC24" s="1070">
        <v>25575374</v>
      </c>
      <c r="CD24" s="1072" t="s">
        <v>1554</v>
      </c>
    </row>
    <row r="25" ht="11.25" customHeight="1">
      <c r="A25" s="143" t="s">
        <v>1555</v>
      </c>
      <c r="B25" s="1057">
        <v>2023</v>
      </c>
      <c r="AW25" s="1070" t="s">
        <v>1556</v>
      </c>
      <c r="AX25" s="1070" t="s">
        <v>1556</v>
      </c>
      <c r="AZ25" s="1070" t="s">
        <v>1557</v>
      </c>
      <c r="BB25" s="1070" t="s">
        <v>1558</v>
      </c>
      <c r="BC25" s="1070" t="s">
        <v>1551</v>
      </c>
      <c r="BE25" s="1070">
        <v>2023</v>
      </c>
      <c r="BH25" s="1072" t="s">
        <v>1483</v>
      </c>
      <c r="BJ25" s="1072" t="s">
        <v>1508</v>
      </c>
      <c r="BL25" s="1072" t="s">
        <v>1508</v>
      </c>
      <c r="BQ25" s="1070">
        <v>4190070</v>
      </c>
      <c r="BR25" s="1072" t="s">
        <v>1559</v>
      </c>
      <c r="BS25" s="1075"/>
      <c r="BT25" s="1070">
        <v>4189677</v>
      </c>
      <c r="BU25" s="1072" t="s">
        <v>1560</v>
      </c>
      <c r="BV25" s="253"/>
      <c r="BW25" s="253"/>
    </row>
    <row r="26" ht="11.25" customHeight="1">
      <c r="A26" s="143" t="s">
        <v>1561</v>
      </c>
      <c r="B26" s="1057">
        <v>2024</v>
      </c>
      <c r="J26" s="1093" t="s">
        <v>1562</v>
      </c>
      <c r="AX26" s="1070" t="s">
        <v>1563</v>
      </c>
      <c r="AZ26" s="1070" t="s">
        <v>1427</v>
      </c>
      <c r="BB26" s="1070" t="s">
        <v>1564</v>
      </c>
      <c r="BC26" s="1070" t="s">
        <v>1551</v>
      </c>
      <c r="BE26" s="1070">
        <v>2024</v>
      </c>
      <c r="BH26" s="1072" t="s">
        <v>1494</v>
      </c>
      <c r="BJ26" s="1072" t="s">
        <v>1445</v>
      </c>
      <c r="BL26" s="1072" t="s">
        <v>1445</v>
      </c>
      <c r="BQ26" s="1070">
        <v>4190071</v>
      </c>
      <c r="BR26" s="1072" t="s">
        <v>1565</v>
      </c>
      <c r="BS26" s="1075"/>
      <c r="BV26" s="253"/>
      <c r="BW26" s="253"/>
    </row>
    <row r="27" ht="11.25" customHeight="1">
      <c r="A27" s="143" t="s">
        <v>1566</v>
      </c>
      <c r="B27" s="1057">
        <v>2025</v>
      </c>
      <c r="J27" s="149" t="s">
        <v>496</v>
      </c>
      <c r="AX27" s="1070" t="s">
        <v>1567</v>
      </c>
      <c r="BB27" s="1070" t="s">
        <v>1568</v>
      </c>
      <c r="BC27" s="1070" t="s">
        <v>1551</v>
      </c>
      <c r="BE27" s="1070">
        <v>2025</v>
      </c>
      <c r="BH27" s="253" t="s">
        <v>28</v>
      </c>
      <c r="BJ27" s="1072" t="s">
        <v>1452</v>
      </c>
      <c r="BL27" s="1072" t="s">
        <v>1452</v>
      </c>
      <c r="BN27" s="253" t="s">
        <v>28</v>
      </c>
      <c r="BQ27" s="1070">
        <v>4190072</v>
      </c>
      <c r="BR27" s="1072" t="s">
        <v>1569</v>
      </c>
      <c r="BS27" s="1075"/>
      <c r="BV27" s="253"/>
      <c r="BW27" s="253"/>
    </row>
    <row r="28" ht="11.25" customHeight="1">
      <c r="A28" s="143" t="s">
        <v>1570</v>
      </c>
      <c r="D28" s="143"/>
      <c r="E28" s="1094"/>
      <c r="F28" s="1094"/>
      <c r="H28" s="251" t="s">
        <v>1571</v>
      </c>
      <c r="AX28" s="1070" t="s">
        <v>1572</v>
      </c>
      <c r="AZ28" s="1050" t="s">
        <v>1573</v>
      </c>
      <c r="BB28" s="1070" t="s">
        <v>1574</v>
      </c>
      <c r="BC28" s="1070" t="s">
        <v>1575</v>
      </c>
      <c r="BE28" s="1070">
        <v>2026</v>
      </c>
      <c r="BH28" s="253" t="s">
        <v>28</v>
      </c>
      <c r="BJ28" s="1072" t="s">
        <v>1459</v>
      </c>
      <c r="BL28" s="1072" t="s">
        <v>1459</v>
      </c>
      <c r="BN28" s="253" t="s">
        <v>28</v>
      </c>
      <c r="BQ28" s="1070">
        <v>4190073</v>
      </c>
      <c r="BR28" s="1072" t="s">
        <v>1576</v>
      </c>
      <c r="BS28" s="1075"/>
      <c r="BV28" s="253"/>
      <c r="BW28" s="253"/>
    </row>
    <row r="29" ht="11.25" customHeight="1">
      <c r="A29" s="143" t="s">
        <v>1577</v>
      </c>
      <c r="D29" s="1095" t="s">
        <v>1578</v>
      </c>
      <c r="E29" s="1096" t="str">
        <f>IF(TEMPLATE_GROUP="","",INDEX(StartDateList,MATCH(TEMPLATE_GROUP,CodeTemplateList,0),1))</f>
        <v>01.01.2024</v>
      </c>
      <c r="F29" s="1096" t="str">
        <f>IF(TEMPLATE_GROUP="","",INDEX(EndDateList,MATCH(TEMPLATE_GROUP,CodeTemplateList,0),1))</f>
        <v>31.12.2028</v>
      </c>
      <c r="H29" s="1097" t="s">
        <v>1579</v>
      </c>
      <c r="AX29" s="1070" t="s">
        <v>1580</v>
      </c>
      <c r="AZ29" s="1070" t="s">
        <v>1227</v>
      </c>
      <c r="BB29" s="1070" t="s">
        <v>1427</v>
      </c>
      <c r="BC29" s="106"/>
      <c r="BE29" s="1070">
        <v>2027</v>
      </c>
      <c r="BJ29" s="1072" t="s">
        <v>1467</v>
      </c>
      <c r="BL29" s="1072" t="s">
        <v>1467</v>
      </c>
    </row>
    <row r="30" ht="11.25" customHeight="1">
      <c r="A30" s="143" t="s">
        <v>1581</v>
      </c>
      <c r="D30" s="1098"/>
      <c r="E30" s="267"/>
      <c r="F30" s="267"/>
      <c r="AX30" s="1070" t="s">
        <v>1582</v>
      </c>
      <c r="AZ30" s="1070" t="s">
        <v>1253</v>
      </c>
      <c r="BE30" s="1070">
        <v>2028</v>
      </c>
      <c r="BJ30" s="1072" t="s">
        <v>1583</v>
      </c>
      <c r="BL30" s="1072" t="s">
        <v>1583</v>
      </c>
    </row>
    <row r="31" ht="12.75" customHeight="1">
      <c r="A31" s="143" t="s">
        <v>1584</v>
      </c>
      <c r="D31" s="143"/>
      <c r="E31" s="1094"/>
      <c r="F31" s="1094"/>
      <c r="H31" s="1099"/>
      <c r="AX31" s="1070" t="s">
        <v>1585</v>
      </c>
      <c r="AZ31" s="1070" t="s">
        <v>1586</v>
      </c>
      <c r="BE31" s="1070">
        <v>2029</v>
      </c>
      <c r="BJ31" s="1072" t="s">
        <v>1587</v>
      </c>
      <c r="BL31" s="1072" t="s">
        <v>1587</v>
      </c>
    </row>
    <row r="32" ht="11.25" customHeight="1">
      <c r="A32" s="143" t="s">
        <v>1588</v>
      </c>
      <c r="D32" s="1095" t="s">
        <v>1589</v>
      </c>
      <c r="E32" s="1096" t="str">
        <f>IF(TEMPLATE_GROUP="","",INDEX(StartDateList,MATCH(TEMPLATE_GROUP,CodeTemplateList,0),1))</f>
        <v>01.01.2024</v>
      </c>
      <c r="F32" s="1096" t="str">
        <f>IF(TEMPLATE_GROUP="","",INDEX(EndDateList,MATCH(TEMPLATE_GROUP,CodeTemplateList,0),1))</f>
        <v>31.12.2028</v>
      </c>
      <c r="H32" s="1100" t="s">
        <v>1590</v>
      </c>
      <c r="O32" s="143" t="s">
        <v>1224</v>
      </c>
      <c r="AX32" s="1070" t="s">
        <v>1591</v>
      </c>
      <c r="AZ32" s="1070" t="s">
        <v>498</v>
      </c>
      <c r="BE32" s="1070">
        <v>2030</v>
      </c>
      <c r="BJ32" s="1072" t="s">
        <v>1476</v>
      </c>
      <c r="BL32" s="1072" t="s">
        <v>1476</v>
      </c>
    </row>
    <row r="33" ht="11.25" customHeight="1">
      <c r="A33" s="143" t="s">
        <v>1592</v>
      </c>
      <c r="O33" s="143" t="s">
        <v>1251</v>
      </c>
      <c r="AX33" s="1070" t="s">
        <v>1593</v>
      </c>
      <c r="AZ33" s="1070" t="s">
        <v>1226</v>
      </c>
      <c r="BE33" s="1070">
        <v>2031</v>
      </c>
      <c r="BJ33" s="1072" t="s">
        <v>1483</v>
      </c>
      <c r="BL33" s="1072" t="s">
        <v>1483</v>
      </c>
    </row>
    <row r="34" ht="11.25" customHeight="1">
      <c r="A34" s="143" t="s">
        <v>1594</v>
      </c>
      <c r="O34" s="143" t="s">
        <v>1286</v>
      </c>
      <c r="AX34" s="1070" t="s">
        <v>1595</v>
      </c>
      <c r="BE34" s="1070">
        <v>2032</v>
      </c>
      <c r="BJ34" s="1072" t="s">
        <v>1494</v>
      </c>
      <c r="BL34" s="1072" t="s">
        <v>1494</v>
      </c>
    </row>
    <row r="35" ht="11.25" customHeight="1">
      <c r="A35" s="143" t="s">
        <v>1596</v>
      </c>
      <c r="O35" s="143" t="s">
        <v>1319</v>
      </c>
      <c r="AX35" s="1070" t="s">
        <v>1597</v>
      </c>
      <c r="AZ35" s="1050" t="s">
        <v>1598</v>
      </c>
      <c r="BE35" s="1070">
        <v>2033</v>
      </c>
      <c r="BL35" s="1072" t="s">
        <v>1599</v>
      </c>
    </row>
    <row r="36" ht="11.25" customHeight="1">
      <c r="A36" s="1090" t="s">
        <v>1600</v>
      </c>
      <c r="D36" s="1101" t="s">
        <v>1601</v>
      </c>
      <c r="E36" s="1102" t="s">
        <v>855</v>
      </c>
      <c r="F36" s="1069" t="str">
        <f>INDEX(E37:E41,MATCH(TEMPLATE_SPHERE,F37:F41,0))</f>
        <v xml:space="preserve">холодного водоснабжения</v>
      </c>
      <c r="G36" s="1069" t="str">
        <f>INDEX(G37:G41,MATCH(TEMPLATE_SPHERE,F37:F41,0))</f>
        <v xml:space="preserve">холодное водоснабжение</v>
      </c>
      <c r="O36" s="143" t="s">
        <v>1343</v>
      </c>
      <c r="AX36" s="1070" t="s">
        <v>1602</v>
      </c>
      <c r="AZ36" s="1070" t="s">
        <v>1226</v>
      </c>
      <c r="BE36" s="1070">
        <v>2034</v>
      </c>
      <c r="BL36" s="1072" t="s">
        <v>1603</v>
      </c>
    </row>
    <row r="37" ht="11.25" customHeight="1">
      <c r="A37" s="143" t="s">
        <v>1604</v>
      </c>
      <c r="E37" s="1103" t="s">
        <v>1605</v>
      </c>
      <c r="F37" s="1104" t="s">
        <v>809</v>
      </c>
      <c r="G37" s="1103" t="s">
        <v>1606</v>
      </c>
      <c r="O37" s="143" t="s">
        <v>1362</v>
      </c>
      <c r="AX37" s="1070" t="s">
        <v>1607</v>
      </c>
      <c r="AZ37" s="1070" t="s">
        <v>1252</v>
      </c>
      <c r="BE37" s="1070">
        <v>2035</v>
      </c>
    </row>
    <row r="38" ht="11.25" customHeight="1">
      <c r="A38" s="143" t="s">
        <v>1608</v>
      </c>
      <c r="E38" s="1103" t="s">
        <v>1609</v>
      </c>
      <c r="F38" s="1105" t="s">
        <v>855</v>
      </c>
      <c r="G38" s="1103" t="s">
        <v>1610</v>
      </c>
      <c r="O38" s="143" t="s">
        <v>1379</v>
      </c>
      <c r="AX38" s="1070" t="s">
        <v>1611</v>
      </c>
      <c r="AZ38" s="1070" t="s">
        <v>1287</v>
      </c>
      <c r="BE38" s="1070">
        <v>2036</v>
      </c>
      <c r="BH38" s="1050" t="s">
        <v>1612</v>
      </c>
      <c r="BJ38" s="1050" t="s">
        <v>1613</v>
      </c>
      <c r="BL38" s="1050" t="s">
        <v>1614</v>
      </c>
      <c r="BN38" s="1050" t="s">
        <v>1615</v>
      </c>
    </row>
    <row r="39" ht="11.25" customHeight="1">
      <c r="A39" s="143" t="s">
        <v>1616</v>
      </c>
      <c r="E39" s="1103" t="s">
        <v>1617</v>
      </c>
      <c r="F39" s="1105" t="s">
        <v>908</v>
      </c>
      <c r="G39" s="1103" t="s">
        <v>1618</v>
      </c>
      <c r="O39" s="143" t="s">
        <v>1395</v>
      </c>
      <c r="AX39" s="1070" t="s">
        <v>1619</v>
      </c>
      <c r="AZ39" s="1070" t="s">
        <v>1320</v>
      </c>
      <c r="BE39" s="1070">
        <v>2037</v>
      </c>
      <c r="BH39" s="1072" t="s">
        <v>1620</v>
      </c>
      <c r="BJ39" s="1087" t="s">
        <v>1620</v>
      </c>
      <c r="BL39" s="1087" t="s">
        <v>1620</v>
      </c>
      <c r="BN39" s="1072" t="s">
        <v>1621</v>
      </c>
    </row>
    <row r="40" ht="11.25" customHeight="1">
      <c r="A40" s="143" t="s">
        <v>1622</v>
      </c>
      <c r="E40" s="1103" t="s">
        <v>1623</v>
      </c>
      <c r="F40" s="1105" t="s">
        <v>895</v>
      </c>
      <c r="G40" s="1103" t="s">
        <v>1624</v>
      </c>
      <c r="O40" s="143" t="s">
        <v>1411</v>
      </c>
      <c r="AX40" s="1070" t="s">
        <v>1625</v>
      </c>
      <c r="BE40" s="1070">
        <v>2038</v>
      </c>
      <c r="BH40" s="1072" t="s">
        <v>1626</v>
      </c>
      <c r="BJ40" s="1087" t="s">
        <v>1028</v>
      </c>
      <c r="BL40" s="1087" t="s">
        <v>1028</v>
      </c>
      <c r="BN40" s="1072" t="s">
        <v>1062</v>
      </c>
    </row>
    <row r="41" ht="11.25" customHeight="1">
      <c r="A41" s="143" t="s">
        <v>1627</v>
      </c>
      <c r="E41" s="1103" t="s">
        <v>1628</v>
      </c>
      <c r="F41" s="1105" t="s">
        <v>1629</v>
      </c>
      <c r="G41" s="1103" t="s">
        <v>1628</v>
      </c>
      <c r="O41" s="143" t="s">
        <v>1427</v>
      </c>
      <c r="AX41" s="1070" t="s">
        <v>1630</v>
      </c>
      <c r="AZ41" s="1050" t="s">
        <v>1631</v>
      </c>
      <c r="BE41" s="1070">
        <v>2039</v>
      </c>
      <c r="BH41" s="1072" t="s">
        <v>1632</v>
      </c>
      <c r="BJ41" s="1087" t="s">
        <v>1024</v>
      </c>
      <c r="BL41" s="1087" t="s">
        <v>1024</v>
      </c>
      <c r="BN41" s="1072" t="s">
        <v>1049</v>
      </c>
    </row>
    <row r="42" ht="11.25" customHeight="1">
      <c r="A42" s="143" t="s">
        <v>1633</v>
      </c>
      <c r="AX42" s="1070" t="s">
        <v>1634</v>
      </c>
      <c r="AZ42" s="1070" t="s">
        <v>1224</v>
      </c>
      <c r="BE42" s="1070">
        <v>2040</v>
      </c>
      <c r="BH42" s="1072" t="s">
        <v>1046</v>
      </c>
      <c r="BJ42" s="1087" t="s">
        <v>1026</v>
      </c>
      <c r="BL42" s="1087" t="s">
        <v>1026</v>
      </c>
      <c r="BN42" s="1072" t="s">
        <v>1635</v>
      </c>
    </row>
    <row r="43" ht="11.25" customHeight="1">
      <c r="A43" s="143" t="s">
        <v>1636</v>
      </c>
      <c r="AX43" s="1070" t="s">
        <v>1637</v>
      </c>
      <c r="AZ43" s="1070" t="s">
        <v>1251</v>
      </c>
      <c r="BE43" s="1070">
        <v>2041</v>
      </c>
      <c r="BH43" s="1072" t="s">
        <v>1638</v>
      </c>
      <c r="BJ43" s="1087" t="s">
        <v>1632</v>
      </c>
      <c r="BL43" s="1087" t="s">
        <v>1632</v>
      </c>
      <c r="BN43" s="1072" t="s">
        <v>1639</v>
      </c>
    </row>
    <row r="44" ht="11.25" customHeight="1">
      <c r="A44" s="143" t="s">
        <v>1640</v>
      </c>
      <c r="G44" s="905">
        <f ca="1">YEAR(TODAY())</f>
        <v>2024</v>
      </c>
      <c r="I44" s="1106" t="s">
        <v>1641</v>
      </c>
      <c r="J44" s="1086" t="s">
        <v>1642</v>
      </c>
      <c r="K44" s="1086" t="s">
        <v>1643</v>
      </c>
      <c r="AX44" s="1070" t="s">
        <v>1644</v>
      </c>
      <c r="AZ44" s="1070" t="s">
        <v>1286</v>
      </c>
      <c r="BE44" s="1070">
        <v>2042</v>
      </c>
      <c r="BH44" s="1072" t="s">
        <v>1645</v>
      </c>
      <c r="BJ44" s="1087" t="s">
        <v>1046</v>
      </c>
      <c r="BL44" s="1087" t="s">
        <v>1046</v>
      </c>
      <c r="BN44" s="1072" t="s">
        <v>1646</v>
      </c>
    </row>
    <row r="45" ht="11.25" customHeight="1">
      <c r="A45" s="143" t="s">
        <v>1647</v>
      </c>
      <c r="D45" s="1101" t="s">
        <v>1648</v>
      </c>
      <c r="E45" s="1102" t="s">
        <v>1649</v>
      </c>
      <c r="F45" s="1051" t="s">
        <v>1650</v>
      </c>
      <c r="G45" s="1107" t="s">
        <v>1651</v>
      </c>
      <c r="H45" s="1106" t="s">
        <v>1652</v>
      </c>
      <c r="I45" s="1108">
        <f>INDEX(PeriodIsEmptyList,MATCH(TEMPLATE_GROUP,CodeTemplateList,0),1)</f>
        <v>0</v>
      </c>
      <c r="J45" s="1109" t="str">
        <f>INDEX(NameTemplatesInTitleList,MATCH(TEMPLATE_GROUP,CodeTemplateList,0),1)</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109"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70" t="s">
        <v>1653</v>
      </c>
      <c r="AZ45" s="1070" t="s">
        <v>1319</v>
      </c>
      <c r="BE45" s="1070">
        <v>2043</v>
      </c>
      <c r="BH45" s="1072" t="s">
        <v>1654</v>
      </c>
      <c r="BJ45" s="1087" t="s">
        <v>1040</v>
      </c>
      <c r="BL45" s="1087" t="s">
        <v>1040</v>
      </c>
      <c r="BN45" s="1072" t="s">
        <v>1655</v>
      </c>
    </row>
    <row r="46" ht="11.25" customHeight="1">
      <c r="A46" s="143" t="s">
        <v>1656</v>
      </c>
      <c r="E46" s="1103" t="s">
        <v>26</v>
      </c>
      <c r="F46" s="1104" t="s">
        <v>1657</v>
      </c>
      <c r="G46" s="1110" t="str">
        <f>_xlfn.IFERROR(IF(TITLE_DATE_FIL="","01.01."&amp;CURRENT_YEAR,"01.01."&amp;YEAR(TITLE_DATE_FIL)),"01.01."&amp;CURRENT_YEAR)</f>
        <v>01.01.2024</v>
      </c>
      <c r="H46" s="1110" t="str">
        <f>_xlfn.IFERROR(IF(TITLE_DATE_FIL="","31.12."&amp;CURRENT_YEAR,"31.12."&amp;YEAR(TITLE_DATE_FIL)),"31.12."&amp;CURRENT_YEAR)</f>
        <v>31.12.2024</v>
      </c>
      <c r="I46" s="1111">
        <f>IF(TITLE_DATE_FIL="",TRUE,FALSE)</f>
        <v>1</v>
      </c>
      <c r="J46" s="1112" t="str">
        <f>"Общая информация о регулируемой организации ("&amp;TEMPLATE_SPHERE_RUS&amp;")"</f>
        <v xml:space="preserve">Общая информация о регулируемой организации (холодного водоснабжения)</v>
      </c>
      <c r="K46" s="1113"/>
      <c r="AX46" s="1070" t="s">
        <v>1658</v>
      </c>
      <c r="AZ46" s="1070" t="s">
        <v>1343</v>
      </c>
      <c r="BE46" s="1070">
        <v>2044</v>
      </c>
      <c r="BH46" s="1072" t="s">
        <v>1049</v>
      </c>
      <c r="BJ46" s="1087" t="s">
        <v>1030</v>
      </c>
      <c r="BL46" s="1087" t="s">
        <v>1030</v>
      </c>
      <c r="BN46" s="1072" t="s">
        <v>1659</v>
      </c>
    </row>
    <row r="47" ht="11.25" customHeight="1">
      <c r="A47" s="143" t="s">
        <v>1660</v>
      </c>
      <c r="E47" s="1103" t="s">
        <v>33</v>
      </c>
      <c r="F47" s="1105" t="s">
        <v>1661</v>
      </c>
      <c r="G47" s="1110" t="str">
        <f>_xlfn.IFERROR(IF(f_year="","01.01."&amp;CURRENT_YEAR,IF(LEN(f_quart)=0,"01.01."&amp;f_year,IF(f_quart="I квартал","01.01."&amp;f_year,IF(f_quart="II квартал","01.04."&amp;f_year,(IF(f_quart="III квартал","01.07."&amp;f_year,"01.10."&amp;f_year)))))),"01.01."&amp;CURRENT_YEAR)</f>
        <v>01.01.2024</v>
      </c>
      <c r="H47" s="1110" t="str">
        <f>_xlfn.IFERROR(IF(f_year="","31.12."&amp;CURRENT_YEAR,IF(LEN(f_quart)=0,"31.12."&amp;f_year,IF(f_quart="I квартал","31.03."&amp;f_year,IF(f_quart="II квартал","30.06."&amp;f_year,(IF(f_quart="III квартал","30.09."&amp;f_year,"31.12."&amp;f_year)))))),"31.12."&amp;CURRENT_YEAR)</f>
        <v>31.12.2024</v>
      </c>
      <c r="I47" s="1114">
        <f>IF(OR(f_year="",f_quart=""),TRUE,FALSE)</f>
        <v>1</v>
      </c>
      <c r="J47" s="111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113"/>
      <c r="AX47" s="1070" t="s">
        <v>1662</v>
      </c>
      <c r="AZ47" s="1070" t="s">
        <v>1362</v>
      </c>
      <c r="BE47" s="1070">
        <v>2045</v>
      </c>
      <c r="BH47" s="1072" t="s">
        <v>1635</v>
      </c>
      <c r="BJ47" s="1087" t="s">
        <v>1032</v>
      </c>
      <c r="BL47" s="1087" t="s">
        <v>1032</v>
      </c>
      <c r="BN47" s="1072" t="s">
        <v>1663</v>
      </c>
    </row>
    <row r="48" ht="11.25" customHeight="1">
      <c r="A48" s="143" t="s">
        <v>16</v>
      </c>
      <c r="E48" s="1103" t="s">
        <v>1664</v>
      </c>
      <c r="F48" s="1105" t="s">
        <v>1665</v>
      </c>
      <c r="G48" s="1110" t="str">
        <f t="shared" ref="G48:G50" si="50">_xlfn.IFERROR(IF(f_year="","01.01."&amp;CURRENT_YEAR,"01.01."&amp;f_year),"01.01."&amp;CURRENT_YEAR)</f>
        <v>01.01.2024</v>
      </c>
      <c r="H48" s="1110" t="str">
        <f t="shared" ref="H48:H50" si="51">_xlfn.IFERROR(IF(f_year="","31.12."&amp;CURRENT_YEAR,"31.12."&amp;f_year),"31.12."&amp;CURRENT_YEAR)</f>
        <v>31.12.2024</v>
      </c>
      <c r="I48" s="1111">
        <f t="shared" ref="I48:I50" si="52">IF(f_year="",TRUE,FALSE)</f>
        <v>1</v>
      </c>
      <c r="J48" s="1112" t="s">
        <v>1666</v>
      </c>
      <c r="K48" s="1113"/>
      <c r="AX48" s="1070" t="s">
        <v>1667</v>
      </c>
      <c r="AZ48" s="1070" t="s">
        <v>1379</v>
      </c>
      <c r="BE48" s="1070">
        <v>2046</v>
      </c>
      <c r="BH48" s="1072" t="s">
        <v>1639</v>
      </c>
      <c r="BJ48" s="1087" t="s">
        <v>1034</v>
      </c>
      <c r="BL48" s="1087" t="s">
        <v>1034</v>
      </c>
      <c r="BN48" s="1072" t="s">
        <v>1668</v>
      </c>
    </row>
    <row r="49" ht="11.25" customHeight="1">
      <c r="A49" s="143" t="s">
        <v>1669</v>
      </c>
      <c r="E49" s="1103" t="s">
        <v>1670</v>
      </c>
      <c r="F49" s="1105" t="s">
        <v>1671</v>
      </c>
      <c r="G49" s="1110" t="str">
        <f t="shared" si="50"/>
        <v>01.01.2024</v>
      </c>
      <c r="H49" s="1110" t="str">
        <f t="shared" si="51"/>
        <v>31.12.2024</v>
      </c>
      <c r="I49" s="1111">
        <f t="shared" si="52"/>
        <v>1</v>
      </c>
      <c r="J49" s="1112"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холодного водоснабжения</v>
      </c>
      <c r="K49" s="1113"/>
      <c r="AX49" s="1070" t="s">
        <v>1672</v>
      </c>
      <c r="AZ49" s="1070" t="s">
        <v>1395</v>
      </c>
      <c r="BE49" s="1070">
        <v>2047</v>
      </c>
      <c r="BH49" s="1072" t="s">
        <v>1050</v>
      </c>
      <c r="BJ49" s="1087" t="s">
        <v>1036</v>
      </c>
      <c r="BL49" s="1087" t="s">
        <v>1036</v>
      </c>
    </row>
    <row r="50" ht="11.25" customHeight="1">
      <c r="A50" s="143" t="s">
        <v>1673</v>
      </c>
      <c r="E50" s="1103" t="s">
        <v>1674</v>
      </c>
      <c r="F50" s="1105" t="s">
        <v>1020</v>
      </c>
      <c r="G50" s="1110" t="str">
        <f t="shared" si="50"/>
        <v>01.01.2024</v>
      </c>
      <c r="H50" s="1110" t="str">
        <f t="shared" si="51"/>
        <v>31.12.2024</v>
      </c>
      <c r="I50" s="1111">
        <f t="shared" si="52"/>
        <v>1</v>
      </c>
      <c r="J50" s="1112"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холодного водоснабжения</v>
      </c>
      <c r="K50" s="1113"/>
      <c r="AX50" s="1070" t="s">
        <v>1675</v>
      </c>
      <c r="AZ50" s="1070" t="s">
        <v>1411</v>
      </c>
      <c r="BE50" s="1070">
        <v>2048</v>
      </c>
      <c r="BH50" s="1072" t="s">
        <v>1646</v>
      </c>
      <c r="BJ50" s="1087" t="s">
        <v>1038</v>
      </c>
      <c r="BL50" s="1087" t="s">
        <v>1038</v>
      </c>
    </row>
    <row r="51" ht="11.25" customHeight="1">
      <c r="A51" s="143" t="s">
        <v>1676</v>
      </c>
      <c r="E51" s="1103" t="s">
        <v>1677</v>
      </c>
      <c r="F51" s="1105" t="s">
        <v>1649</v>
      </c>
      <c r="G51" s="1110" t="str">
        <f t="shared" ref="G51:G52" si="53">_xlfn.IFERROR(IF(TITLE_PERIOD_START="","01.01."&amp;CURRENT_YEAR,"01.01."&amp;YEAR(TITLE_PERIOD_START)),"01.01."&amp;CURRENT_YEAR)</f>
        <v>01.01.2024</v>
      </c>
      <c r="H51" s="1110" t="str">
        <f t="shared" ref="H51:H52" si="54">_xlfn.IFERROR(IF(TITLE_PERIOD_END="","31.12."&amp;CURRENT_YEAR,"31.12."&amp;YEAR(TITLE_PERIOD_END)),"31.12."&amp;CURRENT_YEAR)</f>
        <v>31.12.2028</v>
      </c>
      <c r="I51" s="1114">
        <f t="shared" ref="I51:I52" si="55">IF(OR(TITLE_PERIOD_START="",TITLE_PERIOD_END=""),TRUE,FALSE)</f>
        <v>0</v>
      </c>
      <c r="J51" s="111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113"/>
      <c r="AX51" s="1070" t="s">
        <v>1678</v>
      </c>
      <c r="AZ51" s="1070" t="s">
        <v>1427</v>
      </c>
      <c r="BE51" s="1070">
        <v>2049</v>
      </c>
      <c r="BH51" s="1072" t="s">
        <v>1655</v>
      </c>
      <c r="BJ51" s="1087" t="s">
        <v>1679</v>
      </c>
      <c r="BL51" s="1087" t="s">
        <v>1679</v>
      </c>
    </row>
    <row r="52" ht="11.25" customHeight="1">
      <c r="A52" s="143" t="s">
        <v>1680</v>
      </c>
      <c r="E52" s="1103" t="s">
        <v>1681</v>
      </c>
      <c r="F52" s="1105" t="s">
        <v>1682</v>
      </c>
      <c r="G52" s="1110" t="str">
        <f t="shared" si="53"/>
        <v>01.01.2024</v>
      </c>
      <c r="H52" s="1110" t="str">
        <f t="shared" si="54"/>
        <v>31.12.2028</v>
      </c>
      <c r="I52" s="1114">
        <f t="shared" si="55"/>
        <v>0</v>
      </c>
      <c r="J52" s="1112" t="str">
        <f>"Показатели, подлежащие раскрытию в сфере "&amp;TEMPLATE_SPHERE_RUS&amp;" (цены и тарифы)"</f>
        <v xml:space="preserve">Показатели, подлежащие раскрытию в сфере холодного водоснабжения (цены и тарифы)</v>
      </c>
      <c r="K52" s="1113"/>
      <c r="AX52" s="1070" t="s">
        <v>1683</v>
      </c>
      <c r="AZ52" s="1070" t="s">
        <v>1226</v>
      </c>
      <c r="BE52" s="1070">
        <v>2050</v>
      </c>
      <c r="BH52" s="1072" t="s">
        <v>1659</v>
      </c>
      <c r="BJ52" s="1087" t="s">
        <v>1049</v>
      </c>
      <c r="BL52" s="1087" t="s">
        <v>1049</v>
      </c>
    </row>
    <row r="53" ht="11.25" customHeight="1">
      <c r="A53" s="143" t="s">
        <v>1684</v>
      </c>
      <c r="E53" s="1103" t="s">
        <v>1685</v>
      </c>
      <c r="F53" s="1105" t="s">
        <v>1685</v>
      </c>
      <c r="G53" s="1110" t="str">
        <f>_xlfn.IFERROR(IF(f_year="","01.01."&amp;CURRENT_YEAR,"01.01."&amp;f_year),"01.01."&amp;CURRENT_YEAR)</f>
        <v>01.01.2024</v>
      </c>
      <c r="H53" s="1110" t="str">
        <f>_xlfn.IFERROR(IF(f_year="","31.12."&amp;CURRENT_YEAR,"31.12."&amp;f_year),"31.12."&amp;CURRENT_YEAR)</f>
        <v>31.12.2024</v>
      </c>
      <c r="I53" s="1111">
        <f>IF(AND(f_year="",TITLE_DATE_FIL=""),TRUE,FALSE)</f>
        <v>1</v>
      </c>
      <c r="J53" s="1112" t="s">
        <v>1686</v>
      </c>
      <c r="K53" s="1113"/>
      <c r="AX53" s="1070" t="s">
        <v>1687</v>
      </c>
      <c r="BE53" s="1070">
        <v>2051</v>
      </c>
      <c r="BH53" s="1072" t="s">
        <v>1663</v>
      </c>
      <c r="BJ53" s="1087" t="s">
        <v>1635</v>
      </c>
      <c r="BL53" s="1087" t="s">
        <v>1635</v>
      </c>
    </row>
    <row r="54" ht="11.25" customHeight="1">
      <c r="A54" s="143" t="s">
        <v>1688</v>
      </c>
      <c r="AX54" s="1070" t="s">
        <v>1689</v>
      </c>
      <c r="AZ54" s="1050" t="s">
        <v>1690</v>
      </c>
      <c r="BE54" s="1070">
        <v>2052</v>
      </c>
      <c r="BH54" s="1072" t="s">
        <v>1668</v>
      </c>
      <c r="BJ54" s="1087" t="s">
        <v>1639</v>
      </c>
      <c r="BL54" s="1087" t="s">
        <v>1639</v>
      </c>
    </row>
    <row r="55" ht="11.25" customHeight="1">
      <c r="A55" s="143" t="s">
        <v>1691</v>
      </c>
      <c r="AX55" s="1070" t="s">
        <v>1692</v>
      </c>
      <c r="AZ55" s="1070" t="s">
        <v>1228</v>
      </c>
      <c r="BE55" s="1070">
        <v>2053</v>
      </c>
      <c r="BH55" s="253" t="s">
        <v>28</v>
      </c>
      <c r="BJ55" s="1087" t="s">
        <v>1050</v>
      </c>
      <c r="BL55" s="1087" t="s">
        <v>1050</v>
      </c>
    </row>
    <row r="56" ht="11.25" customHeight="1">
      <c r="A56" s="143" t="s">
        <v>1693</v>
      </c>
      <c r="D56" s="1115" t="s">
        <v>1694</v>
      </c>
      <c r="E56" s="1086" t="s">
        <v>111</v>
      </c>
      <c r="F56" s="143" t="s">
        <v>1695</v>
      </c>
      <c r="AX56" s="1070" t="s">
        <v>1696</v>
      </c>
      <c r="AZ56" s="1070" t="s">
        <v>1254</v>
      </c>
      <c r="BE56" s="1070">
        <v>2054</v>
      </c>
      <c r="BH56" s="253" t="s">
        <v>28</v>
      </c>
      <c r="BJ56" s="1087" t="s">
        <v>1646</v>
      </c>
      <c r="BL56" s="1087" t="s">
        <v>1646</v>
      </c>
    </row>
    <row r="57" ht="11.25" customHeight="1">
      <c r="A57" s="143" t="s">
        <v>1697</v>
      </c>
      <c r="D57" s="1115" t="s">
        <v>1698</v>
      </c>
      <c r="E57" s="1086" t="s">
        <v>111</v>
      </c>
      <c r="F57" s="143" t="s">
        <v>1695</v>
      </c>
      <c r="AX57" s="1070" t="s">
        <v>1699</v>
      </c>
      <c r="AZ57" s="1070" t="s">
        <v>1289</v>
      </c>
      <c r="BE57" s="1070">
        <v>2055</v>
      </c>
      <c r="BJ57" s="1087" t="s">
        <v>1655</v>
      </c>
      <c r="BL57" s="1087" t="s">
        <v>1655</v>
      </c>
    </row>
    <row r="58" ht="11.25" customHeight="1">
      <c r="A58" s="143" t="s">
        <v>1700</v>
      </c>
      <c r="D58" s="1115" t="s">
        <v>1701</v>
      </c>
      <c r="E58" s="1086" t="s">
        <v>111</v>
      </c>
      <c r="F58" s="143" t="s">
        <v>1695</v>
      </c>
      <c r="AX58" s="1070" t="s">
        <v>1702</v>
      </c>
      <c r="BE58" s="1070">
        <v>2056</v>
      </c>
      <c r="BJ58" s="1087" t="s">
        <v>1659</v>
      </c>
      <c r="BL58" s="1087" t="s">
        <v>1659</v>
      </c>
    </row>
    <row r="59" ht="11.25" customHeight="1">
      <c r="A59" s="143" t="s">
        <v>1703</v>
      </c>
      <c r="D59" s="1115" t="s">
        <v>131</v>
      </c>
      <c r="E59" s="1086" t="s">
        <v>1591</v>
      </c>
      <c r="F59" s="143" t="s">
        <v>1704</v>
      </c>
      <c r="AX59" s="1070" t="s">
        <v>1705</v>
      </c>
      <c r="AZ59" s="1050" t="s">
        <v>1706</v>
      </c>
      <c r="BE59" s="1070">
        <v>2057</v>
      </c>
      <c r="BJ59" s="1087" t="s">
        <v>1663</v>
      </c>
      <c r="BL59" s="1087" t="s">
        <v>1663</v>
      </c>
    </row>
    <row r="60" ht="11.25" customHeight="1">
      <c r="A60" s="143" t="s">
        <v>1707</v>
      </c>
      <c r="D60" s="1115" t="s">
        <v>1708</v>
      </c>
      <c r="E60" s="1086" t="s">
        <v>1591</v>
      </c>
      <c r="F60" s="143" t="s">
        <v>1704</v>
      </c>
      <c r="AX60" s="1070" t="s">
        <v>1709</v>
      </c>
      <c r="AZ60" s="1070" t="s">
        <v>1229</v>
      </c>
      <c r="BE60" s="1070">
        <v>2058</v>
      </c>
      <c r="BJ60" s="1087" t="s">
        <v>1668</v>
      </c>
      <c r="BL60" s="1087" t="s">
        <v>1668</v>
      </c>
    </row>
    <row r="61" ht="11.25" customHeight="1">
      <c r="A61" s="143" t="s">
        <v>1710</v>
      </c>
      <c r="D61" s="1115" t="s">
        <v>1711</v>
      </c>
      <c r="E61" s="1086" t="s">
        <v>1591</v>
      </c>
      <c r="F61" s="143" t="s">
        <v>1704</v>
      </c>
      <c r="AX61" s="1070" t="s">
        <v>1712</v>
      </c>
      <c r="AZ61" s="1070" t="s">
        <v>1255</v>
      </c>
      <c r="BE61" s="1070">
        <v>2059</v>
      </c>
      <c r="BL61" s="1087" t="s">
        <v>1042</v>
      </c>
    </row>
    <row r="62" ht="11.25" customHeight="1">
      <c r="A62" s="143" t="s">
        <v>1713</v>
      </c>
      <c r="D62" s="1115" t="s">
        <v>130</v>
      </c>
      <c r="E62" s="1086">
        <v>30</v>
      </c>
      <c r="F62" s="143" t="s">
        <v>1704</v>
      </c>
      <c r="AZ62" s="1070" t="s">
        <v>1290</v>
      </c>
      <c r="BE62" s="1070">
        <v>2060</v>
      </c>
      <c r="BL62" s="1087" t="s">
        <v>1044</v>
      </c>
    </row>
    <row r="63" ht="11.25" customHeight="1">
      <c r="A63" s="143" t="s">
        <v>1714</v>
      </c>
      <c r="D63" s="1115" t="s">
        <v>1715</v>
      </c>
      <c r="E63" s="1086">
        <v>30</v>
      </c>
      <c r="F63" s="143" t="s">
        <v>1704</v>
      </c>
      <c r="AZ63" s="1070" t="s">
        <v>1321</v>
      </c>
      <c r="BE63" s="1070">
        <v>2061</v>
      </c>
    </row>
    <row r="64" ht="11.25" customHeight="1">
      <c r="A64" s="143" t="s">
        <v>1716</v>
      </c>
      <c r="D64" s="1115" t="s">
        <v>1717</v>
      </c>
      <c r="E64" s="1086">
        <v>30</v>
      </c>
      <c r="F64" s="143" t="s">
        <v>1704</v>
      </c>
      <c r="AZ64" s="1070" t="s">
        <v>1344</v>
      </c>
      <c r="BE64" s="1070">
        <v>2062</v>
      </c>
    </row>
    <row r="65" ht="11.25" customHeight="1">
      <c r="A65" s="143" t="s">
        <v>1718</v>
      </c>
      <c r="D65" s="143"/>
      <c r="BE65" s="1070">
        <v>2063</v>
      </c>
    </row>
    <row r="66" ht="11.25" customHeight="1">
      <c r="A66" s="143" t="s">
        <v>1719</v>
      </c>
      <c r="AZ66" s="1050" t="s">
        <v>1720</v>
      </c>
      <c r="BE66" s="1070">
        <v>2064</v>
      </c>
    </row>
    <row r="67" ht="11.25" customHeight="1">
      <c r="A67" s="143" t="s">
        <v>1721</v>
      </c>
      <c r="AZ67" s="1070" t="s">
        <v>1230</v>
      </c>
      <c r="BE67" s="1070">
        <v>2065</v>
      </c>
    </row>
    <row r="68" ht="11.25" customHeight="1">
      <c r="A68" s="143" t="s">
        <v>1722</v>
      </c>
      <c r="AZ68" s="1070" t="s">
        <v>1256</v>
      </c>
      <c r="BE68" s="1070">
        <v>2066</v>
      </c>
      <c r="BH68" s="1050" t="s">
        <v>1723</v>
      </c>
      <c r="BJ68" s="1050" t="s">
        <v>1724</v>
      </c>
      <c r="BL68" s="1050" t="s">
        <v>1725</v>
      </c>
      <c r="BN68" s="1050" t="s">
        <v>1726</v>
      </c>
    </row>
    <row r="69" ht="11.25" customHeight="1">
      <c r="A69" s="143" t="s">
        <v>1727</v>
      </c>
      <c r="AZ69" s="1070" t="s">
        <v>1291</v>
      </c>
      <c r="BE69" s="1070">
        <v>2067</v>
      </c>
      <c r="BH69" s="1072" t="s">
        <v>1728</v>
      </c>
      <c r="BI69" s="253" t="s">
        <v>109</v>
      </c>
      <c r="BJ69" s="1072" t="s">
        <v>1729</v>
      </c>
      <c r="BK69" s="253" t="s">
        <v>109</v>
      </c>
      <c r="BL69" s="1072" t="s">
        <v>1730</v>
      </c>
      <c r="BM69" s="253" t="s">
        <v>109</v>
      </c>
      <c r="BN69" s="1072" t="s">
        <v>1731</v>
      </c>
    </row>
    <row r="70" ht="11.25" customHeight="1">
      <c r="A70" s="143" t="s">
        <v>1732</v>
      </c>
      <c r="AZ70" s="1070" t="s">
        <v>1322</v>
      </c>
      <c r="BE70" s="1070">
        <v>2068</v>
      </c>
      <c r="BH70" s="1072" t="s">
        <v>1733</v>
      </c>
      <c r="BJ70" s="1072" t="s">
        <v>1734</v>
      </c>
      <c r="BL70" s="1072" t="s">
        <v>1735</v>
      </c>
      <c r="BN70" s="1072" t="s">
        <v>1736</v>
      </c>
    </row>
    <row r="71" ht="11.25" customHeight="1">
      <c r="A71" s="143" t="s">
        <v>1737</v>
      </c>
      <c r="AZ71" s="1070" t="s">
        <v>1324</v>
      </c>
      <c r="BE71" s="1070">
        <v>2069</v>
      </c>
      <c r="BH71" s="1072" t="s">
        <v>1738</v>
      </c>
      <c r="BI71" s="253" t="s">
        <v>90</v>
      </c>
      <c r="BJ71" s="1072" t="s">
        <v>1739</v>
      </c>
      <c r="BK71" s="253" t="s">
        <v>90</v>
      </c>
      <c r="BL71" s="1072" t="s">
        <v>1740</v>
      </c>
      <c r="BM71" s="253" t="s">
        <v>90</v>
      </c>
      <c r="BN71" s="1072" t="s">
        <v>1741</v>
      </c>
    </row>
    <row r="72" ht="11.25" customHeight="1">
      <c r="A72" s="143" t="s">
        <v>1742</v>
      </c>
      <c r="AZ72" s="1070" t="s">
        <v>19</v>
      </c>
      <c r="BE72" s="1070">
        <v>2070</v>
      </c>
      <c r="BH72" s="1072" t="s">
        <v>1743</v>
      </c>
      <c r="BJ72" s="1072" t="s">
        <v>1743</v>
      </c>
      <c r="BL72" s="1072" t="s">
        <v>1743</v>
      </c>
      <c r="BN72" s="1072" t="s">
        <v>1744</v>
      </c>
    </row>
    <row r="73" ht="11.25" customHeight="1">
      <c r="A73" s="143" t="s">
        <v>1745</v>
      </c>
      <c r="BH73" s="1072" t="s">
        <v>1746</v>
      </c>
      <c r="BI73" s="253" t="s">
        <v>111</v>
      </c>
      <c r="BJ73" s="1072" t="s">
        <v>1747</v>
      </c>
      <c r="BK73" s="253" t="s">
        <v>111</v>
      </c>
      <c r="BL73" s="1072" t="s">
        <v>1748</v>
      </c>
      <c r="BM73" s="253" t="s">
        <v>111</v>
      </c>
      <c r="BN73" s="1072" t="s">
        <v>1749</v>
      </c>
    </row>
    <row r="74" ht="11.25" customHeight="1">
      <c r="A74" s="143" t="s">
        <v>1750</v>
      </c>
      <c r="BH74" s="1072" t="s">
        <v>1751</v>
      </c>
      <c r="BJ74" s="1072" t="s">
        <v>1752</v>
      </c>
      <c r="BL74" s="1072" t="s">
        <v>1753</v>
      </c>
      <c r="BN74" s="1072" t="s">
        <v>1754</v>
      </c>
    </row>
    <row r="75" ht="11.25" customHeight="1">
      <c r="A75" s="143" t="s">
        <v>1755</v>
      </c>
      <c r="AZ75" s="1050" t="s">
        <v>1756</v>
      </c>
      <c r="BH75" s="1072" t="s">
        <v>1757</v>
      </c>
      <c r="BJ75" s="1072" t="s">
        <v>1757</v>
      </c>
      <c r="BL75" s="1072" t="s">
        <v>1757</v>
      </c>
    </row>
    <row r="76" ht="11.25" customHeight="1">
      <c r="A76" s="143" t="s">
        <v>1758</v>
      </c>
      <c r="AZ76" s="1070" t="s">
        <v>1239</v>
      </c>
      <c r="BH76" s="1072" t="s">
        <v>1759</v>
      </c>
      <c r="BJ76" s="1072" t="s">
        <v>1760</v>
      </c>
      <c r="BL76" s="1072" t="s">
        <v>1761</v>
      </c>
    </row>
    <row r="77" ht="11.25" customHeight="1">
      <c r="A77" s="143" t="s">
        <v>1762</v>
      </c>
      <c r="AZ77" s="1070" t="s">
        <v>1266</v>
      </c>
    </row>
    <row r="78" ht="11.25" customHeight="1">
      <c r="A78" s="143" t="s">
        <v>1763</v>
      </c>
      <c r="AZ78" s="1070" t="s">
        <v>1298</v>
      </c>
    </row>
    <row r="79" ht="11.25" customHeight="1">
      <c r="A79" s="143" t="s">
        <v>1764</v>
      </c>
      <c r="AZ79" s="1070" t="s">
        <v>1328</v>
      </c>
      <c r="BH79" s="1050" t="s">
        <v>1765</v>
      </c>
      <c r="BJ79" s="1050" t="s">
        <v>1766</v>
      </c>
      <c r="BL79" s="1050" t="s">
        <v>1767</v>
      </c>
    </row>
    <row r="80" ht="11.25" customHeight="1">
      <c r="A80" s="143" t="s">
        <v>1768</v>
      </c>
      <c r="AZ80" s="1070" t="s">
        <v>1349</v>
      </c>
      <c r="BH80" s="1072" t="s">
        <v>1769</v>
      </c>
      <c r="BJ80" s="1072" t="s">
        <v>1770</v>
      </c>
      <c r="BL80" s="1072" t="s">
        <v>1771</v>
      </c>
    </row>
    <row r="81" ht="11.25" customHeight="1">
      <c r="A81" s="143" t="s">
        <v>1772</v>
      </c>
      <c r="AZ81" s="1070" t="s">
        <v>1366</v>
      </c>
      <c r="BH81" s="1072" t="s">
        <v>1773</v>
      </c>
      <c r="BJ81" s="1072" t="s">
        <v>1774</v>
      </c>
      <c r="BL81" s="1072" t="s">
        <v>1775</v>
      </c>
    </row>
    <row r="82" ht="11.25" customHeight="1">
      <c r="A82" s="143" t="s">
        <v>1776</v>
      </c>
      <c r="AZ82" s="1070" t="s">
        <v>1381</v>
      </c>
      <c r="BH82" s="1072" t="s">
        <v>1777</v>
      </c>
      <c r="BJ82" s="1072" t="s">
        <v>1778</v>
      </c>
      <c r="BL82" s="1072" t="s">
        <v>1779</v>
      </c>
    </row>
    <row r="83" ht="11.25" customHeight="1">
      <c r="A83" s="143" t="s">
        <v>1780</v>
      </c>
      <c r="BH83" s="1072" t="s">
        <v>1781</v>
      </c>
      <c r="BJ83" s="1072" t="s">
        <v>1782</v>
      </c>
      <c r="BL83" s="1072" t="s">
        <v>1783</v>
      </c>
    </row>
    <row r="84" ht="11.25" customHeight="1">
      <c r="A84" s="143" t="s">
        <v>1784</v>
      </c>
      <c r="AZ84" s="1050" t="s">
        <v>1785</v>
      </c>
    </row>
    <row r="85" ht="11.25" customHeight="1">
      <c r="A85" s="1090" t="s">
        <v>1786</v>
      </c>
      <c r="AZ85" s="1070" t="s">
        <v>1787</v>
      </c>
    </row>
    <row r="86" ht="11.25" customHeight="1">
      <c r="A86" s="143" t="s">
        <v>1788</v>
      </c>
      <c r="AZ86" s="1070" t="s">
        <v>1789</v>
      </c>
      <c r="BH86" s="1050" t="s">
        <v>1790</v>
      </c>
      <c r="BJ86" s="1050" t="s">
        <v>1791</v>
      </c>
      <c r="BL86" s="1050" t="s">
        <v>1792</v>
      </c>
    </row>
    <row r="87" ht="11.25" customHeight="1">
      <c r="A87" s="143" t="s">
        <v>1793</v>
      </c>
      <c r="AZ87" s="1070" t="s">
        <v>1794</v>
      </c>
      <c r="BH87" s="1072" t="s">
        <v>1795</v>
      </c>
      <c r="BJ87" s="1072" t="s">
        <v>1796</v>
      </c>
      <c r="BL87" s="1072" t="s">
        <v>1797</v>
      </c>
    </row>
    <row r="88" ht="11.25" customHeight="1">
      <c r="A88" s="143" t="s">
        <v>1798</v>
      </c>
      <c r="AZ88" s="63"/>
      <c r="BH88" s="1072" t="s">
        <v>1799</v>
      </c>
      <c r="BJ88" s="1072" t="s">
        <v>1800</v>
      </c>
      <c r="BL88" s="1072" t="s">
        <v>1801</v>
      </c>
    </row>
    <row r="89" ht="11.25" customHeight="1">
      <c r="A89" s="143" t="s">
        <v>1802</v>
      </c>
      <c r="AZ89" s="1050" t="s">
        <v>1803</v>
      </c>
    </row>
    <row r="90" ht="11.25" customHeight="1">
      <c r="A90" s="143" t="s">
        <v>1804</v>
      </c>
      <c r="AZ90" s="1070" t="s">
        <v>1020</v>
      </c>
    </row>
    <row r="91" ht="11.25" customHeight="1">
      <c r="A91" s="143" t="s">
        <v>1805</v>
      </c>
      <c r="AZ91" s="1070" t="s">
        <v>1056</v>
      </c>
      <c r="BH91" s="1050" t="s">
        <v>1806</v>
      </c>
      <c r="BJ91" s="1050" t="s">
        <v>1807</v>
      </c>
      <c r="BL91" s="1050" t="s">
        <v>1808</v>
      </c>
    </row>
    <row r="92" ht="11.25" customHeight="1">
      <c r="AZ92" s="1070" t="s">
        <v>1809</v>
      </c>
      <c r="BH92" s="1072" t="s">
        <v>1810</v>
      </c>
      <c r="BJ92" s="1072" t="s">
        <v>1811</v>
      </c>
      <c r="BL92" s="1072" t="s">
        <v>1812</v>
      </c>
    </row>
    <row r="93" ht="11.25" customHeight="1">
      <c r="AZ93" s="1070" t="s">
        <v>1813</v>
      </c>
      <c r="BH93" s="1072" t="s">
        <v>1814</v>
      </c>
      <c r="BJ93" s="1072" t="s">
        <v>1815</v>
      </c>
      <c r="BL93" s="1072" t="s">
        <v>1816</v>
      </c>
    </row>
    <row r="94" ht="11.25" customHeight="1">
      <c r="AZ94" s="1070" t="s">
        <v>1817</v>
      </c>
    </row>
    <row r="96" ht="11.25" customHeight="1">
      <c r="AZ96" s="1050" t="s">
        <v>1818</v>
      </c>
      <c r="BH96" s="1050" t="s">
        <v>1819</v>
      </c>
      <c r="BJ96" s="1050" t="s">
        <v>1820</v>
      </c>
      <c r="BL96" s="1050" t="s">
        <v>1821</v>
      </c>
      <c r="BN96" s="1050" t="s">
        <v>1822</v>
      </c>
    </row>
    <row r="97" ht="11.25" customHeight="1">
      <c r="AZ97" s="1116" t="s">
        <v>1823</v>
      </c>
      <c r="BA97" s="588" t="s">
        <v>1824</v>
      </c>
      <c r="BH97" s="1072" t="s">
        <v>1825</v>
      </c>
      <c r="BJ97" s="1072" t="s">
        <v>1826</v>
      </c>
      <c r="BL97" s="1072" t="s">
        <v>1827</v>
      </c>
      <c r="BN97" s="1072" t="s">
        <v>1828</v>
      </c>
    </row>
    <row r="98" ht="11.25" customHeight="1">
      <c r="AZ98" s="1116" t="s">
        <v>1829</v>
      </c>
      <c r="BA98" s="588" t="s">
        <v>1830</v>
      </c>
      <c r="BH98" s="1072" t="s">
        <v>1831</v>
      </c>
      <c r="BJ98" s="1072" t="s">
        <v>1832</v>
      </c>
      <c r="BL98" s="1072" t="s">
        <v>1833</v>
      </c>
      <c r="BN98" s="1072" t="s">
        <v>1834</v>
      </c>
    </row>
    <row r="99" ht="22.5" customHeight="1">
      <c r="AZ99" s="1116" t="s">
        <v>1835</v>
      </c>
      <c r="BA99" s="588"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72" t="s">
        <v>1836</v>
      </c>
      <c r="BJ99" s="1072" t="s">
        <v>1837</v>
      </c>
      <c r="BL99" s="1072" t="s">
        <v>1838</v>
      </c>
      <c r="BN99" s="1072" t="s">
        <v>1839</v>
      </c>
    </row>
    <row r="100" ht="22.5" customHeight="1">
      <c r="AZ100" s="1116" t="s">
        <v>1840</v>
      </c>
      <c r="BA100" s="588"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72" t="s">
        <v>1427</v>
      </c>
      <c r="BL100" s="1072" t="s">
        <v>1427</v>
      </c>
      <c r="BN100" s="1072" t="s">
        <v>1841</v>
      </c>
    </row>
    <row r="101" ht="22.5" customHeight="1">
      <c r="AZ101" s="1116" t="s">
        <v>1842</v>
      </c>
      <c r="BA101" s="588" t="s">
        <v>1843</v>
      </c>
      <c r="BN101" s="1072" t="s">
        <v>1844</v>
      </c>
    </row>
    <row r="102" ht="22.5" customHeight="1">
      <c r="AZ102" s="1116" t="s">
        <v>1845</v>
      </c>
      <c r="BA102" s="588"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72" t="s">
        <v>1846</v>
      </c>
    </row>
    <row r="103" ht="11.25" customHeight="1">
      <c r="AZ103" s="1116" t="s">
        <v>1847</v>
      </c>
      <c r="BA103" s="588" t="s">
        <v>1848</v>
      </c>
      <c r="BN103" s="1072" t="s">
        <v>1849</v>
      </c>
    </row>
    <row r="104" ht="11.25" customHeight="1">
      <c r="BN104" s="1072" t="s">
        <v>1850</v>
      </c>
    </row>
    <row r="105" ht="11.25" customHeight="1">
      <c r="AZ105" s="1050" t="s">
        <v>1851</v>
      </c>
    </row>
    <row r="106" ht="11.25" customHeight="1">
      <c r="AZ106" s="1070" t="s">
        <v>1852</v>
      </c>
    </row>
    <row r="107" ht="11.25" customHeight="1">
      <c r="AZ107" s="1070" t="s">
        <v>1853</v>
      </c>
      <c r="BH107" s="1050" t="s">
        <v>1854</v>
      </c>
      <c r="BJ107" s="1050" t="s">
        <v>1855</v>
      </c>
      <c r="BL107" s="1050" t="s">
        <v>1856</v>
      </c>
      <c r="BN107" s="1050" t="s">
        <v>1857</v>
      </c>
    </row>
    <row r="108" ht="11.25" customHeight="1">
      <c r="AZ108" s="1070" t="s">
        <v>573</v>
      </c>
      <c r="BH108" s="1072" t="s">
        <v>1858</v>
      </c>
      <c r="BJ108" s="1072" t="s">
        <v>1859</v>
      </c>
      <c r="BL108" s="1072" t="s">
        <v>1513</v>
      </c>
      <c r="BN108" s="1072" t="s">
        <v>1860</v>
      </c>
    </row>
    <row r="109" ht="11.25" customHeight="1">
      <c r="BH109" s="1072" t="s">
        <v>1861</v>
      </c>
    </row>
    <row r="110" ht="11.25" customHeight="1">
      <c r="AZ110" s="1050" t="s">
        <v>1862</v>
      </c>
      <c r="BH110" s="1072" t="s">
        <v>1861</v>
      </c>
    </row>
    <row r="111" ht="11.25" customHeight="1">
      <c r="AZ111" s="1116" t="s">
        <v>1823</v>
      </c>
      <c r="BA111" s="588" t="s">
        <v>1824</v>
      </c>
    </row>
    <row r="112" ht="11.25" customHeight="1">
      <c r="AZ112" s="1116" t="s">
        <v>1829</v>
      </c>
      <c r="BA112" s="588" t="s">
        <v>1830</v>
      </c>
    </row>
    <row r="113" ht="22.5" customHeight="1">
      <c r="AZ113" s="1116" t="s">
        <v>1835</v>
      </c>
      <c r="BA113" s="588"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116" t="s">
        <v>1840</v>
      </c>
      <c r="BA114" s="588" t="str">
        <f t="shared" ref="BA114:BA115" si="56">"в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50" t="s">
        <v>1863</v>
      </c>
    </row>
    <row r="115" ht="22.5" customHeight="1">
      <c r="AZ115" s="1116" t="s">
        <v>1845</v>
      </c>
      <c r="BA115" s="588" t="str">
        <f t="shared" si="56"/>
        <v xml:space="preserve">в течение 7 рабочих дней со дня принятия соответствующего решения</v>
      </c>
      <c r="BH115" s="1072" t="s">
        <v>1226</v>
      </c>
    </row>
    <row r="116" ht="11.25" customHeight="1">
      <c r="AZ116" s="1116" t="s">
        <v>1847</v>
      </c>
      <c r="BA116" s="588" t="s">
        <v>1848</v>
      </c>
      <c r="BH116" s="1072" t="s">
        <v>1252</v>
      </c>
    </row>
    <row r="117" ht="11.25" customHeight="1">
      <c r="BH117" s="1072" t="s">
        <v>1287</v>
      </c>
    </row>
    <row r="118" ht="11.25" customHeight="1">
      <c r="BH118" s="1072" t="s">
        <v>1320</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49" width="15.00390625"/>
    <col customWidth="1" min="3" max="3" style="350" width="3.00390625"/>
    <col customWidth="1" min="4" max="4" style="351" width="6.00390625"/>
    <col customWidth="1" min="5" max="5" style="350" width="52.00390625"/>
    <col customWidth="1" min="6" max="6" style="350" width="48.00390625"/>
    <col customWidth="1" min="7" max="7" style="350" width="93.00390625"/>
    <col customWidth="1" min="8" max="8" style="350" width="8.00390625"/>
    <col customWidth="1" min="9" max="9" style="350" width="64.00390625"/>
    <col hidden="1" min="10" max="10" style="350" width="9.140625"/>
  </cols>
  <sheetData>
    <row r="1" ht="11.25" hidden="1" customHeight="1">
      <c r="A1" s="349" t="s">
        <v>301</v>
      </c>
      <c r="J1" s="350" t="s">
        <v>14</v>
      </c>
    </row>
    <row r="2" ht="22.5" hidden="1" customHeight="1">
      <c r="A2" s="357"/>
      <c r="B2" s="357"/>
      <c r="C2" s="878" t="s">
        <v>496</v>
      </c>
      <c r="D2" s="1117"/>
      <c r="E2" s="462"/>
      <c r="F2" s="681"/>
      <c r="H2" s="367"/>
      <c r="J2" s="350">
        <v>0</v>
      </c>
    </row>
    <row r="3" ht="11.25" hidden="1" customHeight="1">
      <c r="J3" s="350">
        <v>0</v>
      </c>
    </row>
    <row r="4" ht="11.5" customHeight="1">
      <c r="A4" s="1118"/>
      <c r="B4" s="1118"/>
      <c r="J4" s="350">
        <v>11</v>
      </c>
    </row>
    <row r="5" ht="27.300000000000001" customHeight="1">
      <c r="D5" s="18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186"/>
      <c r="F5" s="187"/>
      <c r="I5" s="354"/>
      <c r="J5" s="350">
        <v>26</v>
      </c>
    </row>
    <row r="6" ht="18" customHeight="1">
      <c r="D6" s="320" t="str">
        <f>IF(region_name=0,"Не определено",region_name)</f>
        <v xml:space="preserve">Пермский край</v>
      </c>
      <c r="E6" s="320"/>
      <c r="F6" s="320"/>
      <c r="I6" s="354"/>
      <c r="J6" s="350">
        <v>17</v>
      </c>
    </row>
    <row r="7" s="352" customFormat="1" ht="11.5" customHeight="1">
      <c r="A7" s="349"/>
      <c r="B7" s="349"/>
      <c r="D7" s="355"/>
      <c r="E7" s="355"/>
      <c r="F7" s="356"/>
      <c r="G7" s="355"/>
      <c r="J7" s="352">
        <v>11</v>
      </c>
    </row>
    <row r="8" ht="11.25" hidden="1" customHeight="1">
      <c r="A8" s="357"/>
      <c r="B8" s="357"/>
      <c r="C8" s="91"/>
      <c r="D8" s="83"/>
      <c r="E8" s="358"/>
      <c r="F8" s="358"/>
      <c r="J8" s="350">
        <v>0</v>
      </c>
    </row>
    <row r="9" ht="11.5" customHeight="1">
      <c r="A9" s="357"/>
      <c r="B9" s="357"/>
      <c r="C9" s="91"/>
      <c r="D9" s="359" t="s">
        <v>302</v>
      </c>
      <c r="E9" s="360"/>
      <c r="F9" s="360"/>
      <c r="G9" s="361" t="s">
        <v>303</v>
      </c>
      <c r="J9" s="350">
        <v>11</v>
      </c>
    </row>
    <row r="10" ht="11.5" customHeight="1">
      <c r="A10" s="357"/>
      <c r="B10" s="357"/>
      <c r="C10" s="91"/>
      <c r="D10" s="360" t="s">
        <v>88</v>
      </c>
      <c r="E10" s="361" t="s">
        <v>304</v>
      </c>
      <c r="F10" s="361" t="s">
        <v>305</v>
      </c>
      <c r="G10" s="362"/>
      <c r="J10" s="350">
        <v>11</v>
      </c>
    </row>
    <row r="11" ht="1.05" customHeight="1">
      <c r="A11" s="357"/>
      <c r="B11" s="357"/>
      <c r="C11" s="91"/>
      <c r="D11" s="363"/>
      <c r="E11" s="363"/>
      <c r="F11" s="363"/>
      <c r="G11" s="363"/>
      <c r="J11" s="350">
        <v>1</v>
      </c>
    </row>
    <row r="12" ht="24" customHeight="1">
      <c r="A12" s="357"/>
      <c r="B12" s="357"/>
      <c r="C12" s="91"/>
      <c r="D12" s="1117">
        <v>1</v>
      </c>
      <c r="E12" s="37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618" t="str">
        <f>IF(org="","",org)</f>
        <v xml:space="preserve">филиал Пермская ГРЭС АО "Интер РАО - Электрогенерация"</v>
      </c>
      <c r="G12" s="37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119"/>
      <c r="J12" s="350">
        <v>23</v>
      </c>
    </row>
    <row r="13" ht="19.949999999999999" customHeight="1">
      <c r="A13" s="357"/>
      <c r="B13" s="357"/>
      <c r="C13" s="91"/>
      <c r="D13" s="1117">
        <v>2</v>
      </c>
      <c r="E13" s="498" t="s">
        <v>1864</v>
      </c>
      <c r="F13" s="157" t="s">
        <v>308</v>
      </c>
      <c r="G13" s="370"/>
      <c r="H13" s="1119"/>
      <c r="J13" s="350">
        <v>19</v>
      </c>
    </row>
    <row r="14" ht="19.949999999999999" customHeight="1">
      <c r="A14" s="357"/>
      <c r="B14" s="357"/>
      <c r="C14" s="91"/>
      <c r="D14" s="329" t="s">
        <v>710</v>
      </c>
      <c r="E14" s="686" t="s">
        <v>1865</v>
      </c>
      <c r="F14" s="462"/>
      <c r="G14" s="499" t="s">
        <v>1866</v>
      </c>
      <c r="H14" s="1119"/>
      <c r="J14" s="350">
        <v>19</v>
      </c>
    </row>
    <row r="15" ht="19.949999999999999" customHeight="1">
      <c r="A15" s="357"/>
      <c r="B15" s="357"/>
      <c r="C15" s="91"/>
      <c r="D15" s="329" t="s">
        <v>309</v>
      </c>
      <c r="E15" s="686" t="s">
        <v>1867</v>
      </c>
      <c r="F15" s="462"/>
      <c r="G15" s="499" t="s">
        <v>1868</v>
      </c>
      <c r="H15" s="1119"/>
      <c r="J15" s="350">
        <v>19</v>
      </c>
    </row>
    <row r="16" ht="24" customHeight="1">
      <c r="A16" s="357"/>
      <c r="B16" s="357"/>
      <c r="C16" s="91"/>
      <c r="D16" s="329" t="s">
        <v>312</v>
      </c>
      <c r="E16" s="508" t="s">
        <v>1869</v>
      </c>
      <c r="F16" s="295"/>
      <c r="G16" s="370" t="s">
        <v>1870</v>
      </c>
      <c r="H16" s="1119"/>
      <c r="J16" s="350">
        <v>23</v>
      </c>
    </row>
    <row r="17" ht="48.25" customHeight="1">
      <c r="A17" s="357"/>
      <c r="B17" s="357"/>
      <c r="C17" s="91"/>
      <c r="D17" s="1117">
        <v>3</v>
      </c>
      <c r="E17" s="498" t="s">
        <v>1871</v>
      </c>
      <c r="F17" s="462"/>
      <c r="G17" s="370" t="s">
        <v>1872</v>
      </c>
      <c r="H17" s="1119"/>
      <c r="J17" s="350">
        <v>46</v>
      </c>
    </row>
    <row r="18" ht="48.25" customHeight="1">
      <c r="A18" s="1120">
        <v>1</v>
      </c>
      <c r="B18" s="357"/>
      <c r="C18" s="375"/>
      <c r="D18" s="1117" t="s">
        <v>91</v>
      </c>
      <c r="E18" s="498" t="s">
        <v>1873</v>
      </c>
      <c r="F18" s="462"/>
      <c r="G18" s="370" t="s">
        <v>1872</v>
      </c>
      <c r="H18" s="1119"/>
      <c r="I18" s="376"/>
      <c r="J18" s="350">
        <v>46</v>
      </c>
    </row>
    <row r="19" ht="23.25" customHeight="1">
      <c r="A19" s="357"/>
      <c r="B19" s="357"/>
      <c r="C19" s="91"/>
      <c r="D19" s="1117" t="s">
        <v>111</v>
      </c>
      <c r="E19" s="498" t="s">
        <v>1874</v>
      </c>
      <c r="F19" s="157" t="s">
        <v>308</v>
      </c>
      <c r="G19" s="1121" t="s">
        <v>1875</v>
      </c>
      <c r="H19" s="367"/>
      <c r="J19" s="350">
        <v>22</v>
      </c>
    </row>
    <row r="20" s="1122" customFormat="1" ht="5.25" hidden="1" customHeight="1">
      <c r="A20" s="357"/>
      <c r="B20" s="357"/>
      <c r="C20" s="1123"/>
      <c r="D20" s="1124" t="s">
        <v>1117</v>
      </c>
      <c r="E20" s="389"/>
      <c r="F20" s="158"/>
      <c r="G20" s="1125"/>
      <c r="J20" s="1122">
        <v>0</v>
      </c>
    </row>
    <row r="21" ht="15.75" customHeight="1">
      <c r="A21" s="357"/>
      <c r="B21" s="357"/>
      <c r="C21" s="91"/>
      <c r="D21" s="383"/>
      <c r="E21" s="172" t="s">
        <v>341</v>
      </c>
      <c r="F21" s="385"/>
      <c r="G21" s="1126"/>
      <c r="H21" s="1119"/>
      <c r="J21" s="350">
        <v>15</v>
      </c>
    </row>
    <row r="22" s="349" customFormat="1" ht="26.25" customHeight="1">
      <c r="A22" s="357"/>
      <c r="B22" s="357"/>
      <c r="C22" s="357"/>
      <c r="D22" s="1117" t="s">
        <v>92</v>
      </c>
      <c r="E22" s="370" t="s">
        <v>1876</v>
      </c>
      <c r="F22" s="462"/>
      <c r="G22" s="370" t="s">
        <v>1877</v>
      </c>
      <c r="H22" s="1127"/>
      <c r="J22" s="349">
        <v>25</v>
      </c>
    </row>
    <row r="23" s="349" customFormat="1" ht="19.949999999999999" customHeight="1">
      <c r="A23" s="357"/>
      <c r="B23" s="357"/>
      <c r="C23" s="357"/>
      <c r="D23" s="1117" t="s">
        <v>93</v>
      </c>
      <c r="E23" s="498" t="s">
        <v>1878</v>
      </c>
      <c r="F23" s="295"/>
      <c r="G23" s="370" t="s">
        <v>1879</v>
      </c>
      <c r="H23" s="1127"/>
      <c r="J23" s="349">
        <v>19</v>
      </c>
    </row>
    <row r="24" s="349" customFormat="1" ht="144" hidden="1" customHeight="1">
      <c r="A24" s="357"/>
      <c r="B24" s="357"/>
      <c r="C24" s="357"/>
      <c r="D24" s="1117" t="s">
        <v>112</v>
      </c>
      <c r="E24" s="112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129"/>
      <c r="G24" s="113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127"/>
      <c r="J24" s="349">
        <v>0</v>
      </c>
    </row>
    <row r="25" ht="11.25" hidden="1" customHeight="1">
      <c r="A25" s="349" t="s">
        <v>82</v>
      </c>
      <c r="B25" s="349">
        <v>0</v>
      </c>
      <c r="C25" s="350">
        <v>3</v>
      </c>
      <c r="D25" s="351">
        <v>6</v>
      </c>
      <c r="E25" s="350">
        <v>52</v>
      </c>
      <c r="F25" s="350">
        <v>48</v>
      </c>
      <c r="G25" s="350">
        <v>93</v>
      </c>
      <c r="H25" s="350">
        <v>8</v>
      </c>
      <c r="I25" s="350">
        <v>64</v>
      </c>
      <c r="J25" s="350">
        <v>11</v>
      </c>
    </row>
  </sheetData>
  <sheetProtection autoFilter="0" deleteColumns="0" deleteRows="0" formatCells="1" formatColumns="0" formatRows="0" insertColumns="1" insertHyperlinks="1" insertRows="0" pivotTables="1" selectLockedCells="0" selectUnlockedCells="0" sheet="0" sort="0"/>
  <mergeCells count="6">
    <mergeCell ref="G19:G21"/>
    <mergeCell ref="D5:F5"/>
    <mergeCell ref="D6:F6"/>
    <mergeCell ref="E8:F8"/>
    <mergeCell ref="D9:F9"/>
    <mergeCell ref="G9:G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A100AD-00C1-4C06-A456-00FD002200B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 xr:uid="{009200A0-00C8-404A-B540-003D00730048}"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9" width="3.00390625"/>
    <col customWidth="1" min="12" max="14" style="129" width="8.00390625"/>
    <col customWidth="1" min="15" max="15" style="129" width="25.00390625"/>
    <col customWidth="1" min="16" max="16" style="129" width="14.00390625"/>
    <col customWidth="1" min="17" max="20" style="130" width="8.00390625"/>
    <col customWidth="1" min="21" max="254" style="50" width="8.00390625"/>
    <col hidden="1" min="255" max="255" style="50" width="9.140625"/>
  </cols>
  <sheetData>
    <row r="1" ht="22.5" hidden="1" customHeight="1">
      <c r="F1" s="50" t="s">
        <v>1880</v>
      </c>
      <c r="G1" s="50" t="s">
        <v>49</v>
      </c>
      <c r="H1" s="50" t="s">
        <v>51</v>
      </c>
      <c r="IU1" s="50" t="s">
        <v>14</v>
      </c>
    </row>
    <row r="2" s="63" customFormat="1" ht="22.5" hidden="1" customHeight="1">
      <c r="A2" s="120"/>
      <c r="B2" s="53">
        <v>1</v>
      </c>
      <c r="C2" s="53"/>
      <c r="D2" s="1013" t="s">
        <v>496</v>
      </c>
      <c r="E2" s="157"/>
      <c r="F2" s="402"/>
      <c r="G2" s="402"/>
      <c r="H2" s="402"/>
      <c r="I2" s="1131"/>
      <c r="J2" s="1132"/>
      <c r="K2" s="1133"/>
      <c r="L2" s="57"/>
      <c r="M2" s="57"/>
      <c r="N2" s="129" t="str">
        <f t="array" ref="N2">IF(ISERROR(MATCH(MID(O2,1,250),MID(note_ter,1,250),0)),"n","y")</f>
        <v>n</v>
      </c>
      <c r="O2" s="57"/>
      <c r="P2" s="129" t="str">
        <f>G2&amp;"("&amp;J2&amp;")"</f>
        <v>()</v>
      </c>
      <c r="Q2" s="53"/>
      <c r="R2" s="53"/>
      <c r="S2" s="166"/>
      <c r="T2" s="53"/>
      <c r="U2" s="53"/>
      <c r="V2" s="53"/>
      <c r="W2" s="64"/>
      <c r="X2" s="64"/>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64"/>
      <c r="BU2" s="64"/>
      <c r="BV2" s="64"/>
      <c r="BW2" s="64"/>
      <c r="BX2" s="64"/>
      <c r="BY2" s="64"/>
      <c r="BZ2" s="64"/>
      <c r="CA2" s="64"/>
      <c r="CB2" s="64"/>
      <c r="CC2" s="64"/>
      <c r="IU2" s="63">
        <v>0</v>
      </c>
    </row>
    <row r="3" s="57" customFormat="1" ht="4.2000000000000002" customHeight="1">
      <c r="A3" s="131"/>
      <c r="D3" s="132"/>
      <c r="F3" s="133" t="s">
        <v>83</v>
      </c>
      <c r="G3" s="132" t="s">
        <v>84</v>
      </c>
      <c r="H3" s="132"/>
      <c r="I3" s="132"/>
      <c r="J3" s="134" t="s">
        <v>85</v>
      </c>
      <c r="K3" s="133" t="s">
        <v>83</v>
      </c>
      <c r="L3" s="133"/>
      <c r="M3" s="133"/>
      <c r="N3" s="133"/>
      <c r="O3" s="133"/>
      <c r="P3" s="133"/>
      <c r="Q3" s="133"/>
      <c r="R3" s="133"/>
      <c r="S3" s="133"/>
      <c r="T3" s="133"/>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57">
        <v>4</v>
      </c>
    </row>
    <row r="4" s="139" customFormat="1" ht="14.65" customHeight="1">
      <c r="A4" s="50"/>
      <c r="B4" s="53"/>
      <c r="C4" s="50"/>
      <c r="D4" s="128"/>
      <c r="E4" s="50"/>
      <c r="F4" s="57"/>
      <c r="G4" s="50"/>
      <c r="H4" s="50"/>
      <c r="I4" s="50"/>
      <c r="J4" s="140"/>
      <c r="K4" s="133"/>
      <c r="L4" s="129"/>
      <c r="M4" s="129"/>
      <c r="N4" s="129"/>
      <c r="O4" s="129"/>
      <c r="P4" s="129"/>
      <c r="Q4" s="130"/>
      <c r="R4" s="130"/>
      <c r="S4" s="130"/>
      <c r="T4" s="130"/>
      <c r="IU4" s="139">
        <v>14</v>
      </c>
    </row>
    <row r="5" s="139" customFormat="1" ht="27.300000000000001" customHeight="1">
      <c r="A5" s="50"/>
      <c r="B5" s="53"/>
      <c r="C5" s="50"/>
      <c r="D5" s="128"/>
      <c r="E5" s="1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41"/>
      <c r="G5" s="141"/>
      <c r="H5" s="141"/>
      <c r="I5" s="141"/>
      <c r="J5" s="141"/>
      <c r="K5" s="133"/>
      <c r="L5" s="129"/>
      <c r="M5" s="129"/>
      <c r="N5" s="129"/>
      <c r="O5" s="129"/>
      <c r="P5" s="129"/>
      <c r="Q5" s="130"/>
      <c r="R5" s="130"/>
      <c r="S5" s="130"/>
      <c r="T5" s="130"/>
      <c r="IU5" s="139">
        <v>26</v>
      </c>
    </row>
    <row r="6" s="139" customFormat="1" ht="14.65" customHeight="1">
      <c r="A6" s="50"/>
      <c r="B6" s="53"/>
      <c r="C6" s="50"/>
      <c r="D6" s="128"/>
      <c r="E6" s="50"/>
      <c r="F6" s="142"/>
      <c r="G6" s="142"/>
      <c r="H6" s="142"/>
      <c r="I6" s="142"/>
      <c r="J6" s="120"/>
      <c r="K6" s="129"/>
      <c r="L6" s="129"/>
      <c r="M6" s="129"/>
      <c r="N6" s="129"/>
      <c r="O6" s="129"/>
      <c r="P6" s="129"/>
      <c r="Q6" s="130"/>
      <c r="R6" s="130"/>
      <c r="S6" s="130"/>
      <c r="T6" s="130"/>
      <c r="IU6" s="139">
        <v>14</v>
      </c>
    </row>
    <row r="7" s="139" customFormat="1" ht="14.65" customHeight="1">
      <c r="A7" s="50"/>
      <c r="B7" s="53"/>
      <c r="C7" s="50"/>
      <c r="D7" s="128"/>
      <c r="E7" s="73" t="s">
        <v>302</v>
      </c>
      <c r="F7" s="145"/>
      <c r="G7" s="145"/>
      <c r="H7" s="145"/>
      <c r="I7" s="145"/>
      <c r="J7" s="915" t="s">
        <v>303</v>
      </c>
      <c r="K7" s="129"/>
      <c r="L7" s="129"/>
      <c r="M7" s="129"/>
      <c r="N7" s="129"/>
      <c r="O7" s="129"/>
      <c r="P7" s="129"/>
      <c r="Q7" s="130"/>
      <c r="R7" s="130"/>
      <c r="S7" s="130"/>
      <c r="T7" s="130"/>
      <c r="IU7" s="139">
        <v>14</v>
      </c>
    </row>
    <row r="8" s="139" customFormat="1" ht="21" customHeight="1">
      <c r="A8" s="50"/>
      <c r="B8" s="53"/>
      <c r="C8" s="50"/>
      <c r="D8" s="128"/>
      <c r="E8" s="1134" t="s">
        <v>88</v>
      </c>
      <c r="F8" s="1135" t="s">
        <v>1880</v>
      </c>
      <c r="G8" s="1135" t="s">
        <v>49</v>
      </c>
      <c r="H8" s="1135" t="s">
        <v>51</v>
      </c>
      <c r="I8" s="1135" t="s">
        <v>1881</v>
      </c>
      <c r="J8" s="1136"/>
      <c r="K8" s="129"/>
      <c r="L8" s="129"/>
      <c r="M8" s="129"/>
      <c r="N8" s="129"/>
      <c r="O8" s="129"/>
      <c r="P8" s="129"/>
      <c r="Q8" s="130"/>
      <c r="R8" s="130"/>
      <c r="S8" s="130"/>
      <c r="T8" s="130"/>
      <c r="IU8" s="139">
        <v>20</v>
      </c>
    </row>
    <row r="9" s="63" customFormat="1" ht="23.25" customHeight="1">
      <c r="A9" s="50"/>
      <c r="B9" s="53">
        <v>1</v>
      </c>
      <c r="C9" s="53"/>
      <c r="D9" s="169"/>
      <c r="E9" s="157">
        <v>1</v>
      </c>
      <c r="F9" s="1137"/>
      <c r="G9" s="402"/>
      <c r="H9" s="402"/>
      <c r="I9" s="1138"/>
      <c r="J9" s="2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133"/>
      <c r="L9" s="57"/>
      <c r="M9" s="57"/>
      <c r="N9" s="129" t="str">
        <f t="array" ref="N9">IF(ISERROR(MATCH(MID(O9,1,250),MID(note_ter,1,250),0)),"n","y")</f>
        <v>n</v>
      </c>
      <c r="O9" s="57"/>
      <c r="P9" s="129"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6"/>
      <c r="T9" s="53"/>
      <c r="U9" s="53"/>
      <c r="V9" s="53"/>
      <c r="W9" s="64"/>
      <c r="X9" s="64"/>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67"/>
      <c r="BG9" s="167"/>
      <c r="BH9" s="167"/>
      <c r="BI9" s="167"/>
      <c r="BJ9" s="167"/>
      <c r="BK9" s="167"/>
      <c r="BL9" s="167"/>
      <c r="BM9" s="167"/>
      <c r="BN9" s="167"/>
      <c r="BO9" s="167"/>
      <c r="BP9" s="167"/>
      <c r="BQ9" s="167"/>
      <c r="BR9" s="167"/>
      <c r="BS9" s="167"/>
      <c r="BT9" s="64"/>
      <c r="BU9" s="64"/>
      <c r="BV9" s="64"/>
      <c r="BW9" s="64"/>
      <c r="BX9" s="64"/>
      <c r="BY9" s="64"/>
      <c r="BZ9" s="64"/>
      <c r="CA9" s="64"/>
      <c r="CB9" s="64"/>
      <c r="CC9" s="64"/>
      <c r="IU9" s="63">
        <v>22</v>
      </c>
    </row>
    <row r="10" s="63" customFormat="1" ht="15.75" customHeight="1">
      <c r="A10" s="50"/>
      <c r="B10" s="53"/>
      <c r="C10" s="168"/>
      <c r="D10" s="169"/>
      <c r="E10" s="1139"/>
      <c r="F10" s="758" t="s">
        <v>1882</v>
      </c>
      <c r="G10" s="1140"/>
      <c r="H10" s="1140"/>
      <c r="I10" s="1141"/>
      <c r="J10" s="289"/>
      <c r="K10" s="1142"/>
      <c r="L10" s="57"/>
      <c r="M10" s="57"/>
      <c r="N10" s="57"/>
      <c r="O10" s="129"/>
      <c r="P10" s="57"/>
      <c r="Q10" s="53"/>
      <c r="R10" s="53"/>
      <c r="S10" s="166"/>
      <c r="T10" s="53"/>
      <c r="U10" s="53"/>
      <c r="V10" s="53"/>
      <c r="W10" s="64"/>
      <c r="X10" s="64"/>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64"/>
      <c r="BU10" s="64"/>
      <c r="BV10" s="64"/>
      <c r="BW10" s="64"/>
      <c r="BX10" s="64"/>
      <c r="BY10" s="64"/>
      <c r="BZ10" s="64"/>
      <c r="CA10" s="64"/>
      <c r="CB10" s="64"/>
      <c r="CC10" s="64"/>
      <c r="IU10" s="63">
        <v>15</v>
      </c>
    </row>
    <row r="11" s="139" customFormat="1" ht="22" customHeight="1">
      <c r="A11" s="50"/>
      <c r="B11" s="53"/>
      <c r="C11" s="50"/>
      <c r="D11" s="128"/>
      <c r="E11" s="179"/>
      <c r="F11" s="179"/>
      <c r="G11" s="179"/>
      <c r="H11" s="179"/>
      <c r="I11" s="179"/>
      <c r="J11" s="179"/>
      <c r="K11" s="129"/>
      <c r="L11" s="129"/>
      <c r="M11" s="129"/>
      <c r="N11" s="129"/>
      <c r="O11" s="129"/>
      <c r="P11" s="129"/>
      <c r="Q11" s="130"/>
      <c r="R11" s="130"/>
      <c r="S11" s="130"/>
      <c r="T11" s="130"/>
      <c r="IU11" s="139">
        <v>21</v>
      </c>
    </row>
    <row r="12" s="139" customFormat="1" ht="14.65" customHeight="1">
      <c r="A12" s="50"/>
      <c r="B12" s="53"/>
      <c r="C12" s="50"/>
      <c r="D12" s="128"/>
      <c r="E12" s="50"/>
      <c r="F12" s="50"/>
      <c r="G12" s="50"/>
      <c r="H12" s="50"/>
      <c r="I12" s="50"/>
      <c r="J12" s="50"/>
      <c r="K12" s="129"/>
      <c r="L12" s="129"/>
      <c r="M12" s="129"/>
      <c r="N12" s="129"/>
      <c r="O12" s="129"/>
      <c r="P12" s="129"/>
      <c r="Q12" s="130"/>
      <c r="R12" s="130"/>
      <c r="S12" s="130"/>
      <c r="T12" s="130"/>
      <c r="IU12" s="139">
        <v>14</v>
      </c>
    </row>
    <row r="13" s="139" customFormat="1" ht="1.05" customHeight="1">
      <c r="A13" s="50"/>
      <c r="B13" s="53"/>
      <c r="C13" s="50"/>
      <c r="D13" s="128"/>
      <c r="E13" s="50"/>
      <c r="F13" s="50"/>
      <c r="G13" s="50"/>
      <c r="H13" s="50"/>
      <c r="I13" s="50"/>
      <c r="J13" s="50"/>
      <c r="K13" s="129"/>
      <c r="L13" s="129"/>
      <c r="M13" s="129"/>
      <c r="N13" s="129"/>
      <c r="O13" s="129"/>
      <c r="P13" s="129"/>
      <c r="Q13" s="130"/>
      <c r="R13" s="130"/>
      <c r="S13" s="130"/>
      <c r="T13" s="130"/>
      <c r="IU13" s="139">
        <v>1</v>
      </c>
    </row>
    <row r="14" s="180" customFormat="1" ht="10.5" customHeight="1">
      <c r="B14" s="181"/>
      <c r="D14" s="182"/>
      <c r="K14" s="129"/>
      <c r="L14" s="129"/>
      <c r="M14" s="129"/>
      <c r="N14" s="129"/>
      <c r="O14" s="129"/>
      <c r="P14" s="129"/>
      <c r="Q14" s="130"/>
      <c r="R14" s="130"/>
      <c r="S14" s="130"/>
      <c r="T14" s="130"/>
      <c r="IU14" s="180">
        <v>10</v>
      </c>
    </row>
    <row r="15" s="180" customFormat="1" ht="10.5" customHeight="1">
      <c r="B15" s="181"/>
      <c r="D15" s="182"/>
      <c r="K15" s="129"/>
      <c r="L15" s="129"/>
      <c r="M15" s="129"/>
      <c r="N15" s="129"/>
      <c r="O15" s="129"/>
      <c r="P15" s="129"/>
      <c r="Q15" s="130"/>
      <c r="R15" s="130"/>
      <c r="S15" s="130"/>
      <c r="T15" s="130"/>
      <c r="IU15" s="180">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82</v>
      </c>
      <c r="B24" s="53">
        <v>0</v>
      </c>
      <c r="C24" s="50">
        <v>0</v>
      </c>
      <c r="D24" s="128">
        <v>3</v>
      </c>
      <c r="E24" s="50">
        <v>6</v>
      </c>
      <c r="F24" s="50">
        <v>46</v>
      </c>
      <c r="G24" s="50">
        <v>16</v>
      </c>
      <c r="H24" s="50">
        <v>16</v>
      </c>
      <c r="I24" s="50">
        <v>35</v>
      </c>
      <c r="J24" s="50">
        <v>89</v>
      </c>
      <c r="K24" s="129">
        <v>3</v>
      </c>
      <c r="L24" s="129">
        <v>8</v>
      </c>
      <c r="M24" s="129">
        <v>8</v>
      </c>
      <c r="N24" s="129">
        <v>8</v>
      </c>
      <c r="O24" s="129">
        <v>25</v>
      </c>
      <c r="P24" s="129">
        <v>14</v>
      </c>
      <c r="Q24" s="130">
        <v>8</v>
      </c>
      <c r="R24" s="130">
        <v>8</v>
      </c>
      <c r="S24" s="130">
        <v>8</v>
      </c>
      <c r="T24" s="130">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0" deleteRows="0" formatCells="1" formatColumns="0" formatRows="0" insertColumns="1" insertHyperlinks="1" insertRows="0" pivotTables="1" selectLockedCells="0" selectUnlockedCells="0" sheet="0" sort="0"/>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7001C-009F-4F0B-872F-005E00AA0083}"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 xr:uid="{007700CE-009A-48B9-ADDF-00D500B500D9}" type="textLength" allowBlank="1" errorStyle="stop" imeMode="noControl" operator="between" showDropDown="0"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1013" t="s">
        <v>496</v>
      </c>
      <c r="E2" s="73"/>
      <c r="F2" s="558" t="str">
        <f>IF(ROIV_INFO_NAME="","",ROIV_INFO_NAME)</f>
        <v xml:space="preserve">филиал Пермская ГРЭС АО "Интер РАО - Электрогенерация"</v>
      </c>
      <c r="G2" s="1143" t="s">
        <v>28</v>
      </c>
      <c r="H2" s="1144"/>
      <c r="I2" s="1138"/>
      <c r="J2" s="815"/>
      <c r="K2" s="815"/>
      <c r="L2" s="136"/>
      <c r="M2" s="1133"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83</v>
      </c>
      <c r="G3" s="1145" t="s">
        <v>84</v>
      </c>
      <c r="H3" s="132"/>
      <c r="I3" s="132"/>
      <c r="J3" s="132"/>
      <c r="K3" s="132"/>
      <c r="L3" s="134" t="s">
        <v>85</v>
      </c>
      <c r="M3" s="133" t="s">
        <v>83</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0"/>
      <c r="M6" s="129"/>
      <c r="N6" s="129"/>
      <c r="O6" s="129"/>
      <c r="P6" s="129"/>
      <c r="Q6" s="129"/>
      <c r="R6" s="129"/>
      <c r="S6" s="130"/>
      <c r="T6" s="130"/>
      <c r="U6" s="130"/>
      <c r="V6" s="130"/>
      <c r="IW6" s="139">
        <v>14</v>
      </c>
    </row>
    <row r="7" s="139" customFormat="1" ht="14.65" customHeight="1">
      <c r="A7" s="50"/>
      <c r="B7" s="53"/>
      <c r="C7" s="50"/>
      <c r="D7" s="128"/>
      <c r="E7" s="73" t="s">
        <v>302</v>
      </c>
      <c r="F7" s="145"/>
      <c r="G7" s="145"/>
      <c r="H7" s="145"/>
      <c r="I7" s="145"/>
      <c r="J7" s="145"/>
      <c r="K7" s="145"/>
      <c r="L7" s="915" t="s">
        <v>303</v>
      </c>
      <c r="M7" s="129"/>
      <c r="N7" s="129"/>
      <c r="O7" s="129"/>
      <c r="P7" s="129"/>
      <c r="Q7" s="129"/>
      <c r="R7" s="129"/>
      <c r="S7" s="130"/>
      <c r="T7" s="130"/>
      <c r="U7" s="130"/>
      <c r="V7" s="130"/>
      <c r="IW7" s="139">
        <v>14</v>
      </c>
    </row>
    <row r="8" s="139" customFormat="1" ht="67.200000000000003" customHeight="1">
      <c r="A8" s="50"/>
      <c r="B8" s="53"/>
      <c r="C8" s="50"/>
      <c r="D8" s="128"/>
      <c r="E8" s="1135" t="s">
        <v>88</v>
      </c>
      <c r="F8" s="113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1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146"/>
      <c r="I8" s="1147"/>
      <c r="J8" s="113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113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48"/>
      <c r="M8" s="129"/>
      <c r="N8" s="129"/>
      <c r="O8" s="129"/>
      <c r="P8" s="129"/>
      <c r="Q8" s="129"/>
      <c r="R8" s="129"/>
      <c r="S8" s="130"/>
      <c r="T8" s="130"/>
      <c r="U8" s="130"/>
      <c r="V8" s="130"/>
      <c r="IW8" s="139">
        <v>64</v>
      </c>
    </row>
    <row r="9" s="139" customFormat="1" ht="29.25" customHeight="1">
      <c r="A9" s="50"/>
      <c r="B9" s="53"/>
      <c r="C9" s="50"/>
      <c r="D9" s="128"/>
      <c r="E9" s="1149"/>
      <c r="F9" s="1149"/>
      <c r="G9" s="1149" t="s">
        <v>1883</v>
      </c>
      <c r="H9" s="1149" t="s">
        <v>1884</v>
      </c>
      <c r="I9" s="1149" t="s">
        <v>1885</v>
      </c>
      <c r="J9" s="1149"/>
      <c r="K9" s="1149"/>
      <c r="L9" s="1136"/>
      <c r="M9" s="129"/>
      <c r="N9" s="129"/>
      <c r="O9" s="129"/>
      <c r="P9" s="129"/>
      <c r="Q9" s="129"/>
      <c r="R9" s="129"/>
      <c r="S9" s="130"/>
      <c r="T9" s="130"/>
      <c r="U9" s="130"/>
      <c r="V9" s="130"/>
      <c r="IW9" s="139">
        <v>28</v>
      </c>
    </row>
    <row r="10" s="63" customFormat="1" ht="23.25" customHeight="1">
      <c r="A10" s="51"/>
      <c r="B10" s="53">
        <v>1</v>
      </c>
      <c r="C10" s="53"/>
      <c r="D10" s="161"/>
      <c r="E10" s="162">
        <v>1</v>
      </c>
      <c r="F10" s="1150" t="str">
        <f>IF(ROIV_INFO_NAME="","",ROIV_INFO_NAME)</f>
        <v xml:space="preserve">филиал Пермская ГРЭС АО "Интер РАО - Электрогенерация"</v>
      </c>
      <c r="G10" s="89" t="s">
        <v>28</v>
      </c>
      <c r="H10" s="1144"/>
      <c r="I10" s="1151"/>
      <c r="J10" s="815"/>
      <c r="K10" s="815"/>
      <c r="L10" s="97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133" t="e">
        <f>MERGEVALUE(F10)</f>
        <v>#NAME?</v>
      </c>
      <c r="N10" s="57"/>
      <c r="O10" s="57"/>
      <c r="P10" s="129" t="str">
        <f t="array" ref="P10">IF(ISERROR(MATCH(MID(Q10,1,250),MID(note_ter,1,250),0)),"n","y")</f>
        <v>n</v>
      </c>
      <c r="Q10" s="57"/>
      <c r="R10" s="129"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22</v>
      </c>
    </row>
    <row r="11" s="63" customFormat="1" ht="15.75" customHeight="1">
      <c r="A11" s="51"/>
      <c r="B11" s="53"/>
      <c r="C11" s="168"/>
      <c r="D11" s="169"/>
      <c r="E11" s="170"/>
      <c r="F11" s="177" t="s">
        <v>1886</v>
      </c>
      <c r="G11" s="173"/>
      <c r="H11" s="173"/>
      <c r="I11" s="173"/>
      <c r="J11" s="173"/>
      <c r="K11" s="174"/>
      <c r="L11" s="1152"/>
      <c r="M11" s="1142"/>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82</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0" formatRows="0" insertColumns="1" insertHyperlinks="1" insertRows="0" pivotTables="1" selectLockedCells="0" selectUnlockedCells="0" sheet="0" sort="0"/>
  <mergeCells count="10">
    <mergeCell ref="L7:L9"/>
    <mergeCell ref="E7:K7"/>
    <mergeCell ref="A10:A11"/>
    <mergeCell ref="L10:L11"/>
    <mergeCell ref="E5:K5"/>
    <mergeCell ref="F8:F9"/>
    <mergeCell ref="E8:E9"/>
    <mergeCell ref="G8:I8"/>
    <mergeCell ref="J8:J9"/>
    <mergeCell ref="K8:K9"/>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50064-00F5-428D-AB1D-004800CC00BC}" type="textLength" allowBlank="1" errorStyle="stop" imeMode="noControl" operator="lessThanOrEqual" showDropDown="0" showErrorMessage="1" showInputMessage="1">
          <x14:formula1>
            <xm:f>990</xm:f>
          </x14:formula1>
          <xm:sqref>I10 I2</xm:sqref>
        </x14:dataValidation>
        <x14:dataValidation xr:uid="{00EC0045-00CF-4F69-8A5B-002E00A10069}"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1B00AC-00BC-4642-8853-009F00A30079}"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D800A2-00A4-4D1C-94B0-00D500810071}" type="textLength" allowBlank="1" errorStyle="stop" imeMode="noControl" operator="between" showDropDown="0"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1013" t="s">
        <v>496</v>
      </c>
      <c r="E2" s="157"/>
      <c r="F2" s="558" t="str">
        <f>IF(ROIV_INFO_NAME="","",ROIV_INFO_NAME)</f>
        <v xml:space="preserve">филиал Пермская ГРЭС АО "Интер РАО - Электрогенерация"</v>
      </c>
      <c r="G2" s="89" t="s">
        <v>28</v>
      </c>
      <c r="H2" s="1144"/>
      <c r="I2" s="1138"/>
      <c r="J2" s="815"/>
      <c r="K2" s="815"/>
      <c r="L2" s="136"/>
      <c r="M2" s="1133"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83</v>
      </c>
      <c r="G3" s="1145" t="s">
        <v>84</v>
      </c>
      <c r="H3" s="132"/>
      <c r="I3" s="132"/>
      <c r="J3" s="132"/>
      <c r="K3" s="132"/>
      <c r="L3" s="134" t="s">
        <v>85</v>
      </c>
      <c r="M3" s="133" t="s">
        <v>83</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0"/>
      <c r="M6" s="129"/>
      <c r="N6" s="129"/>
      <c r="O6" s="129"/>
      <c r="P6" s="129"/>
      <c r="Q6" s="129"/>
      <c r="R6" s="129"/>
      <c r="S6" s="130"/>
      <c r="T6" s="130"/>
      <c r="U6" s="130"/>
      <c r="V6" s="130"/>
      <c r="IW6" s="139">
        <v>14</v>
      </c>
    </row>
    <row r="7" s="139" customFormat="1" ht="14.65" customHeight="1">
      <c r="A7" s="50"/>
      <c r="B7" s="53"/>
      <c r="C7" s="50"/>
      <c r="D7" s="128"/>
      <c r="E7" s="73" t="s">
        <v>302</v>
      </c>
      <c r="F7" s="145"/>
      <c r="G7" s="145"/>
      <c r="H7" s="145"/>
      <c r="I7" s="145"/>
      <c r="J7" s="145"/>
      <c r="K7" s="145"/>
      <c r="L7" s="915" t="s">
        <v>303</v>
      </c>
      <c r="M7" s="129"/>
      <c r="N7" s="129"/>
      <c r="O7" s="129"/>
      <c r="P7" s="129"/>
      <c r="Q7" s="129"/>
      <c r="R7" s="129"/>
      <c r="S7" s="130"/>
      <c r="T7" s="130"/>
      <c r="U7" s="130"/>
      <c r="V7" s="130"/>
      <c r="IW7" s="139">
        <v>14</v>
      </c>
    </row>
    <row r="8" s="139" customFormat="1" ht="67.200000000000003" customHeight="1">
      <c r="A8" s="50"/>
      <c r="B8" s="53"/>
      <c r="C8" s="50"/>
      <c r="D8" s="128"/>
      <c r="E8" s="1135" t="s">
        <v>88</v>
      </c>
      <c r="F8" s="1135" t="s">
        <v>1887</v>
      </c>
      <c r="G8" s="147" t="s">
        <v>1888</v>
      </c>
      <c r="H8" s="1146"/>
      <c r="I8" s="1147"/>
      <c r="J8" s="1135" t="s">
        <v>1889</v>
      </c>
      <c r="K8" s="113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48"/>
      <c r="M8" s="129"/>
      <c r="N8" s="129"/>
      <c r="O8" s="129"/>
      <c r="P8" s="129"/>
      <c r="Q8" s="129"/>
      <c r="R8" s="129"/>
      <c r="S8" s="130"/>
      <c r="T8" s="130"/>
      <c r="U8" s="130"/>
      <c r="V8" s="130"/>
      <c r="IW8" s="139">
        <v>64</v>
      </c>
    </row>
    <row r="9" s="139" customFormat="1" ht="29.25" customHeight="1">
      <c r="A9" s="50"/>
      <c r="B9" s="53"/>
      <c r="C9" s="50"/>
      <c r="D9" s="128"/>
      <c r="E9" s="1149"/>
      <c r="F9" s="1149"/>
      <c r="G9" s="1149" t="s">
        <v>1883</v>
      </c>
      <c r="H9" s="1149" t="s">
        <v>1884</v>
      </c>
      <c r="I9" s="1149" t="s">
        <v>1885</v>
      </c>
      <c r="J9" s="1149"/>
      <c r="K9" s="1149"/>
      <c r="L9" s="1136"/>
      <c r="M9" s="129"/>
      <c r="N9" s="129"/>
      <c r="O9" s="129"/>
      <c r="P9" s="129"/>
      <c r="Q9" s="129"/>
      <c r="R9" s="129"/>
      <c r="S9" s="130"/>
      <c r="T9" s="130"/>
      <c r="U9" s="130"/>
      <c r="V9" s="130"/>
      <c r="IW9" s="139">
        <v>28</v>
      </c>
    </row>
    <row r="10" s="63" customFormat="1" ht="1.05" customHeight="1">
      <c r="A10" s="51"/>
      <c r="B10" s="53">
        <v>1</v>
      </c>
      <c r="C10" s="53"/>
      <c r="D10" s="161"/>
      <c r="E10" s="163">
        <v>0</v>
      </c>
      <c r="F10" s="423" t="str">
        <f>IF(ROIV_INFO_NAME="","",ROIV_INFO_NAME)</f>
        <v xml:space="preserve">филиал Пермская ГРЭС АО "Интер РАО - Электрогенерация"</v>
      </c>
      <c r="G10" s="380" t="s">
        <v>28</v>
      </c>
      <c r="H10" s="1153"/>
      <c r="I10" s="1153"/>
      <c r="J10" s="906"/>
      <c r="K10" s="906"/>
      <c r="L10" s="97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33" t="e">
        <f>MERGEVALUE(F10)</f>
        <v>#NAME?</v>
      </c>
      <c r="N10" s="57"/>
      <c r="O10" s="57"/>
      <c r="P10" s="129" t="str">
        <f t="array" ref="P10">IF(ISERROR(MATCH(MID(Q10,1,250),MID(note_ter,1,250),0)),"n","y")</f>
        <v>n</v>
      </c>
      <c r="Q10" s="57"/>
      <c r="R10" s="1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1</v>
      </c>
    </row>
    <row r="11" s="63" customFormat="1" ht="15.75" customHeight="1">
      <c r="A11" s="51"/>
      <c r="B11" s="53"/>
      <c r="C11" s="168"/>
      <c r="D11" s="169"/>
      <c r="E11" s="170"/>
      <c r="F11" s="177" t="s">
        <v>1886</v>
      </c>
      <c r="G11" s="173"/>
      <c r="H11" s="173"/>
      <c r="I11" s="173"/>
      <c r="J11" s="173"/>
      <c r="K11" s="174"/>
      <c r="L11" s="1152"/>
      <c r="M11" s="1142"/>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82</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1" formatRows="1" insertColumns="1" insertHyperlinks="1" insertRows="0" pivotTables="1" selectLockedCells="0" selectUnlockedCells="0" sheet="0" sort="0"/>
  <mergeCells count="10">
    <mergeCell ref="A10:A11"/>
    <mergeCell ref="L10:L11"/>
    <mergeCell ref="E5:K5"/>
    <mergeCell ref="E7:K7"/>
    <mergeCell ref="L7:L9"/>
    <mergeCell ref="E8:E9"/>
    <mergeCell ref="F8:F9"/>
    <mergeCell ref="G8:I8"/>
    <mergeCell ref="J8:J9"/>
    <mergeCell ref="K8:K9"/>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800D2-00FF-40DF-BB1B-009B00EA0070}"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 xr:uid="{004900F5-0040-4CCF-8011-00FB000000A0}" type="textLength" allowBlank="1" errorStyle="stop" imeMode="noControl" operator="lessThanOrEqual" showDropDown="0" showErrorMessage="1" showInputMessage="1">
          <x14:formula1>
            <xm:f>990</xm:f>
          </x14:formula1>
          <xm:sqref>I2</xm:sqref>
        </x14:dataValidation>
        <x14:dataValidation xr:uid="{00C20041-007A-4451-B230-00CE009500E3}" type="textLength" allowBlank="1" errorStyle="stop" imeMode="noControl" operator="between" showDropDown="0" showErrorMessage="1" showInputMessage="1">
          <x14:formula1>
            <xm:f>13</xm:f>
          </x14:formula1>
          <x14:formula2>
            <xm:f>15</xm:f>
          </x14:formula2>
          <xm:sqref>H3:I3</xm:sqref>
        </x14:dataValidation>
        <x14:dataValidation xr:uid="{002A00F0-008E-43BA-B7D8-00EC001600F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9" width="3.00390625"/>
    <col customWidth="1" min="16" max="16" style="129" width="8.00390625"/>
    <col hidden="1" min="17" max="17" style="50" width="9.140625"/>
  </cols>
  <sheetData>
    <row r="1" ht="22.5" hidden="1" customHeight="1">
      <c r="Q1" s="50" t="s">
        <v>14</v>
      </c>
    </row>
    <row r="2" s="63" customFormat="1" ht="22.5" hidden="1" customHeight="1">
      <c r="A2" s="131"/>
      <c r="B2" s="53">
        <v>1</v>
      </c>
      <c r="C2" s="53"/>
      <c r="D2" s="1013" t="s">
        <v>496</v>
      </c>
      <c r="E2" s="157">
        <v>1</v>
      </c>
      <c r="F2" s="618" t="str">
        <f>IF(region_name="","",region_name)</f>
        <v xml:space="preserve">Пермский край</v>
      </c>
      <c r="G2" s="1137"/>
      <c r="H2" s="404"/>
      <c r="I2" s="370"/>
      <c r="J2" s="73">
        <v>1</v>
      </c>
      <c r="K2" s="462"/>
      <c r="L2" s="462"/>
      <c r="M2" s="462"/>
      <c r="N2" s="382"/>
      <c r="O2" s="1133"/>
      <c r="P2" s="57"/>
      <c r="Q2" s="63">
        <v>0</v>
      </c>
    </row>
    <row r="3" s="63" customFormat="1" ht="22.5" hidden="1" customHeight="1">
      <c r="A3" s="120"/>
      <c r="B3" s="53"/>
      <c r="C3" s="53"/>
      <c r="D3" s="169"/>
      <c r="E3" s="157"/>
      <c r="F3" s="618"/>
      <c r="G3" s="1137"/>
      <c r="H3" s="402"/>
      <c r="I3" s="170"/>
      <c r="J3" s="758"/>
      <c r="K3" s="758" t="s">
        <v>1890</v>
      </c>
      <c r="L3" s="1154"/>
      <c r="M3" s="1155"/>
      <c r="N3" s="1156"/>
      <c r="O3" s="1133"/>
      <c r="P3" s="57"/>
      <c r="Q3" s="63">
        <v>0</v>
      </c>
    </row>
    <row r="4" s="57" customFormat="1" ht="5.25" hidden="1" customHeight="1">
      <c r="A4" s="131"/>
      <c r="D4" s="132"/>
      <c r="F4" s="133" t="s">
        <v>83</v>
      </c>
      <c r="G4" s="132" t="s">
        <v>84</v>
      </c>
      <c r="H4" s="132"/>
      <c r="I4" s="132"/>
      <c r="J4" s="1157"/>
      <c r="K4" s="132"/>
      <c r="L4" s="132"/>
      <c r="M4" s="132"/>
      <c r="N4" s="132"/>
      <c r="O4" s="133" t="s">
        <v>83</v>
      </c>
      <c r="P4" s="133"/>
      <c r="Q4" s="57">
        <v>0</v>
      </c>
    </row>
    <row r="5" s="63" customFormat="1" ht="22.5" hidden="1" customHeight="1">
      <c r="A5" s="131"/>
      <c r="B5" s="53">
        <v>1</v>
      </c>
      <c r="C5" s="53"/>
      <c r="D5" s="169"/>
      <c r="E5" s="1156"/>
      <c r="F5" s="1156"/>
      <c r="G5" s="1156"/>
      <c r="H5" s="1158"/>
      <c r="I5" s="1159" t="s">
        <v>496</v>
      </c>
      <c r="J5" s="145">
        <v>1</v>
      </c>
      <c r="K5" s="462"/>
      <c r="L5" s="462"/>
      <c r="M5" s="462"/>
      <c r="N5" s="382"/>
      <c r="O5" s="1133"/>
      <c r="P5" s="57"/>
      <c r="Q5" s="63">
        <v>0</v>
      </c>
    </row>
    <row r="6" s="139" customFormat="1" ht="14.65" customHeight="1">
      <c r="A6" s="50"/>
      <c r="B6" s="53"/>
      <c r="C6" s="50"/>
      <c r="D6" s="128"/>
      <c r="E6" s="50"/>
      <c r="F6" s="50"/>
      <c r="G6" s="50"/>
      <c r="H6" s="50"/>
      <c r="I6" s="50"/>
      <c r="J6" s="50"/>
      <c r="K6" s="50"/>
      <c r="L6" s="50"/>
      <c r="M6" s="50"/>
      <c r="N6" s="50"/>
      <c r="O6" s="133"/>
      <c r="P6" s="129"/>
      <c r="Q6" s="139">
        <v>14</v>
      </c>
    </row>
    <row r="7" s="139" customFormat="1" ht="27.300000000000001" customHeight="1">
      <c r="A7" s="50"/>
      <c r="B7" s="53"/>
      <c r="C7" s="50"/>
      <c r="D7" s="128"/>
      <c r="E7" s="11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60"/>
      <c r="G7" s="1160"/>
      <c r="H7" s="1160"/>
      <c r="I7" s="1160"/>
      <c r="J7" s="1160"/>
      <c r="K7" s="1160"/>
      <c r="L7" s="1160"/>
      <c r="M7" s="1160"/>
      <c r="N7" s="120"/>
      <c r="O7" s="133"/>
      <c r="P7" s="129"/>
      <c r="Q7" s="139">
        <v>26</v>
      </c>
    </row>
    <row r="8" s="139" customFormat="1" ht="14.65" customHeight="1">
      <c r="A8" s="50"/>
      <c r="B8" s="53"/>
      <c r="C8" s="50"/>
      <c r="D8" s="128"/>
      <c r="E8" s="50"/>
      <c r="F8" s="142"/>
      <c r="G8" s="142"/>
      <c r="H8" s="142"/>
      <c r="I8" s="142"/>
      <c r="J8" s="142"/>
      <c r="K8" s="142"/>
      <c r="L8" s="142"/>
      <c r="M8" s="142"/>
      <c r="N8" s="142"/>
      <c r="O8" s="129"/>
      <c r="P8" s="129"/>
      <c r="Q8" s="139">
        <v>14</v>
      </c>
    </row>
    <row r="9" s="1161" customFormat="1" ht="14.25" hidden="1" customHeight="1">
      <c r="A9" s="51"/>
      <c r="B9" s="113"/>
      <c r="C9" s="51"/>
      <c r="D9" s="128"/>
      <c r="E9" s="1162"/>
      <c r="F9" s="1162"/>
      <c r="G9" s="1162"/>
      <c r="H9" s="1162"/>
      <c r="I9" s="1162"/>
      <c r="J9" s="1162"/>
      <c r="K9" s="1162"/>
      <c r="L9" s="1162"/>
      <c r="M9" s="1163"/>
      <c r="O9" s="212"/>
      <c r="P9" s="212"/>
      <c r="Q9" s="1161">
        <v>0</v>
      </c>
    </row>
    <row r="10" s="139" customFormat="1" ht="14.65" customHeight="1">
      <c r="A10" s="50"/>
      <c r="B10" s="53"/>
      <c r="C10" s="50"/>
      <c r="D10" s="128"/>
      <c r="E10" s="157" t="s">
        <v>302</v>
      </c>
      <c r="F10" s="157"/>
      <c r="G10" s="157"/>
      <c r="H10" s="157"/>
      <c r="I10" s="157"/>
      <c r="J10" s="157"/>
      <c r="K10" s="157"/>
      <c r="L10" s="157"/>
      <c r="M10" s="73"/>
      <c r="N10" s="1135" t="s">
        <v>303</v>
      </c>
      <c r="O10" s="129"/>
      <c r="P10" s="129"/>
      <c r="Q10" s="139">
        <v>14</v>
      </c>
    </row>
    <row r="11" s="139" customFormat="1" ht="44.25" customHeight="1">
      <c r="A11" s="50"/>
      <c r="B11" s="53"/>
      <c r="C11" s="50"/>
      <c r="D11" s="128"/>
      <c r="E11" s="148" t="s">
        <v>88</v>
      </c>
      <c r="F11" s="148" t="s">
        <v>306</v>
      </c>
      <c r="G11" s="148" t="s">
        <v>1891</v>
      </c>
      <c r="H11" s="148"/>
      <c r="I11" s="148" t="s">
        <v>1892</v>
      </c>
      <c r="J11" s="148"/>
      <c r="K11" s="148"/>
      <c r="L11" s="148" t="s">
        <v>1893</v>
      </c>
      <c r="M11" s="147" t="s">
        <v>1894</v>
      </c>
      <c r="N11" s="1164"/>
      <c r="O11" s="129"/>
      <c r="P11" s="129"/>
      <c r="Q11" s="139">
        <v>42</v>
      </c>
    </row>
    <row r="12" s="139" customFormat="1" ht="29.25" customHeight="1">
      <c r="A12" s="50"/>
      <c r="B12" s="53"/>
      <c r="C12" s="50"/>
      <c r="D12" s="128"/>
      <c r="E12" s="1135"/>
      <c r="F12" s="148"/>
      <c r="G12" s="148" t="s">
        <v>1895</v>
      </c>
      <c r="H12" s="148" t="s">
        <v>310</v>
      </c>
      <c r="I12" s="148"/>
      <c r="J12" s="148"/>
      <c r="K12" s="148"/>
      <c r="L12" s="148"/>
      <c r="M12" s="147"/>
      <c r="N12" s="1149"/>
      <c r="O12" s="129"/>
      <c r="P12" s="129"/>
      <c r="Q12" s="139">
        <v>28</v>
      </c>
    </row>
    <row r="13" s="63" customFormat="1" ht="23.25" customHeight="1">
      <c r="A13" s="51">
        <v>26379339</v>
      </c>
      <c r="B13" s="53">
        <v>1</v>
      </c>
      <c r="C13" s="53"/>
      <c r="D13" s="169"/>
      <c r="E13" s="157">
        <v>1</v>
      </c>
      <c r="F13" s="1165" t="str">
        <f>IF(region_name="","",region_name)</f>
        <v xml:space="preserve">Пермский край</v>
      </c>
      <c r="G13" s="482"/>
      <c r="H13" s="1166"/>
      <c r="I13" s="370"/>
      <c r="J13" s="162">
        <v>1</v>
      </c>
      <c r="K13" s="1167"/>
      <c r="L13" s="1168"/>
      <c r="M13" s="1168"/>
      <c r="N13" s="1169" t="s">
        <v>1896</v>
      </c>
      <c r="O13" s="1133"/>
      <c r="P13" s="57"/>
      <c r="Q13" s="63">
        <v>22</v>
      </c>
    </row>
    <row r="14" s="63" customFormat="1" ht="23.25" customHeight="1">
      <c r="A14" s="51"/>
      <c r="B14" s="53"/>
      <c r="C14" s="53"/>
      <c r="D14" s="169"/>
      <c r="E14" s="157"/>
      <c r="F14" s="1165"/>
      <c r="G14" s="482"/>
      <c r="H14" s="1170"/>
      <c r="I14" s="170"/>
      <c r="J14" s="758"/>
      <c r="K14" s="758" t="s">
        <v>1890</v>
      </c>
      <c r="L14" s="1154"/>
      <c r="M14" s="1154"/>
      <c r="N14" s="1171"/>
      <c r="O14" s="1133"/>
      <c r="P14" s="57"/>
      <c r="Q14" s="63">
        <v>22</v>
      </c>
    </row>
    <row r="15" s="63" customFormat="1" ht="23.25" customHeight="1">
      <c r="A15" s="51"/>
      <c r="B15" s="53"/>
      <c r="C15" s="168"/>
      <c r="D15" s="169"/>
      <c r="E15" s="170"/>
      <c r="F15" s="758" t="s">
        <v>1882</v>
      </c>
      <c r="G15" s="1140"/>
      <c r="H15" s="1140"/>
      <c r="I15" s="173"/>
      <c r="J15" s="173"/>
      <c r="K15" s="173"/>
      <c r="L15" s="173"/>
      <c r="M15" s="173"/>
      <c r="N15" s="1171"/>
      <c r="O15" s="1142"/>
      <c r="P15" s="57"/>
      <c r="Q15" s="63">
        <v>22</v>
      </c>
    </row>
    <row r="16" s="139" customFormat="1" ht="22" customHeight="1">
      <c r="A16" s="50"/>
      <c r="B16" s="53"/>
      <c r="C16" s="50"/>
      <c r="D16" s="128"/>
      <c r="E16" s="179"/>
      <c r="F16" s="179"/>
      <c r="G16" s="179"/>
      <c r="H16" s="179"/>
      <c r="I16" s="179"/>
      <c r="J16" s="179"/>
      <c r="K16" s="179"/>
      <c r="L16" s="179"/>
      <c r="M16" s="50"/>
      <c r="N16" s="50"/>
      <c r="O16" s="129"/>
      <c r="P16" s="129"/>
      <c r="Q16" s="139">
        <v>21</v>
      </c>
    </row>
    <row r="17" s="139" customFormat="1" ht="14.65" customHeight="1">
      <c r="A17" s="50"/>
      <c r="B17" s="53"/>
      <c r="C17" s="50"/>
      <c r="D17" s="128"/>
      <c r="E17" s="50"/>
      <c r="F17" s="50"/>
      <c r="G17" s="50"/>
      <c r="H17" s="50"/>
      <c r="I17" s="50"/>
      <c r="J17" s="50"/>
      <c r="K17" s="50"/>
      <c r="L17" s="50"/>
      <c r="M17" s="50"/>
      <c r="N17" s="50"/>
      <c r="O17" s="129"/>
      <c r="P17" s="129"/>
      <c r="Q17" s="139">
        <v>14</v>
      </c>
    </row>
    <row r="18" s="139" customFormat="1" ht="1.05" customHeight="1">
      <c r="A18" s="50"/>
      <c r="B18" s="53"/>
      <c r="C18" s="50"/>
      <c r="D18" s="128"/>
      <c r="E18" s="50"/>
      <c r="F18" s="50"/>
      <c r="G18" s="50"/>
      <c r="H18" s="50"/>
      <c r="I18" s="50"/>
      <c r="J18" s="50"/>
      <c r="K18" s="50"/>
      <c r="L18" s="50"/>
      <c r="M18" s="50"/>
      <c r="N18" s="50"/>
      <c r="O18" s="129"/>
      <c r="P18" s="129"/>
      <c r="Q18" s="139">
        <v>1</v>
      </c>
    </row>
    <row r="19" ht="22.5" hidden="1" customHeight="1">
      <c r="A19" s="50" t="s">
        <v>82</v>
      </c>
      <c r="B19" s="53">
        <v>0</v>
      </c>
      <c r="C19" s="50">
        <v>0</v>
      </c>
      <c r="D19" s="128">
        <v>3</v>
      </c>
      <c r="E19" s="50">
        <v>6</v>
      </c>
      <c r="F19" s="50">
        <v>27</v>
      </c>
      <c r="G19" s="50">
        <v>29</v>
      </c>
      <c r="H19" s="50">
        <v>25</v>
      </c>
      <c r="I19" s="50">
        <v>5</v>
      </c>
      <c r="J19" s="50">
        <v>6</v>
      </c>
      <c r="K19" s="50">
        <v>41</v>
      </c>
      <c r="L19" s="50">
        <v>42</v>
      </c>
      <c r="M19" s="50">
        <v>41</v>
      </c>
      <c r="N19" s="50">
        <v>89</v>
      </c>
      <c r="O19" s="129">
        <v>3</v>
      </c>
      <c r="P19" s="129">
        <v>8</v>
      </c>
      <c r="Q19" s="50">
        <v>23</v>
      </c>
    </row>
  </sheetData>
  <sheetProtection autoFilter="0" deleteColumns="0" deleteRows="0" formatCells="1" formatColumns="0" formatRows="0" insertColumns="1" insertHyperlinks="1" insertRows="0" pivotTables="1" selectLockedCells="0" selectUnlockedCells="0" sheet="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B00A0-00F9-428B-B6D0-0027008B007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 xr:uid="{00C00012-002A-49DC-9E58-0035009C00F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311" width="9.140625"/>
    <col hidden="1" min="2" max="2" style="143" width="9.140625"/>
    <col customWidth="1" min="3" max="3" style="1172" width="3.00390625"/>
    <col customWidth="1" min="4" max="4" style="143" width="6.00390625"/>
    <col customWidth="1" min="5" max="5" style="143" width="22.00390625"/>
    <col customWidth="1" min="6" max="6" style="143" width="15.00390625"/>
    <col customWidth="1" min="7" max="7" style="143" width="14.00390625"/>
    <col customWidth="1" min="8" max="8" style="143" width="47.00390625"/>
    <col customWidth="1" min="9" max="9" style="143" width="115.00390625"/>
    <col customWidth="1" min="10" max="10" style="143" width="3.00390625"/>
    <col customWidth="1" min="11" max="12" style="143" width="8.00390625"/>
    <col hidden="1" min="13" max="13" style="143" width="9.140625"/>
  </cols>
  <sheetData>
    <row r="1" ht="14.25" hidden="1" customHeight="1">
      <c r="M1" s="143" t="s">
        <v>14</v>
      </c>
    </row>
    <row r="2" ht="14.25" hidden="1" customHeight="1">
      <c r="M2" s="143">
        <v>0</v>
      </c>
    </row>
    <row r="3" ht="14.25" hidden="1" customHeight="1">
      <c r="M3" s="143">
        <v>0</v>
      </c>
    </row>
    <row r="4" ht="3" customHeight="1">
      <c r="M4" s="143">
        <v>3</v>
      </c>
    </row>
    <row r="5" s="50" customFormat="1" ht="31.5" customHeight="1">
      <c r="A5" s="56"/>
      <c r="C5" s="396"/>
      <c r="D5" s="141" t="s">
        <v>1897</v>
      </c>
      <c r="E5" s="141"/>
      <c r="F5" s="141"/>
      <c r="G5" s="141"/>
      <c r="H5" s="141"/>
      <c r="I5" s="239"/>
      <c r="M5" s="50">
        <v>30</v>
      </c>
    </row>
    <row r="6" ht="3" hidden="1" customHeight="1">
      <c r="D6" s="348"/>
      <c r="E6" s="348"/>
      <c r="F6" s="348"/>
      <c r="G6" s="348"/>
      <c r="H6" s="348"/>
      <c r="I6" s="348"/>
      <c r="M6" s="143">
        <v>0</v>
      </c>
    </row>
    <row r="7" s="311" customFormat="1" ht="14.65" customHeight="1">
      <c r="B7" s="143"/>
      <c r="C7" s="1172"/>
      <c r="D7" s="1173"/>
      <c r="E7" s="1173"/>
      <c r="F7" s="1173"/>
      <c r="G7" s="1173"/>
      <c r="H7" s="356"/>
      <c r="I7" s="1173"/>
      <c r="J7" s="1174"/>
      <c r="M7" s="311">
        <v>14</v>
      </c>
    </row>
    <row r="8" ht="14.65" customHeight="1">
      <c r="D8" s="362" t="s">
        <v>302</v>
      </c>
      <c r="E8" s="362"/>
      <c r="F8" s="362"/>
      <c r="G8" s="362"/>
      <c r="H8" s="362"/>
      <c r="I8" s="362" t="s">
        <v>303</v>
      </c>
      <c r="M8" s="143">
        <v>14</v>
      </c>
    </row>
    <row r="9" ht="29.25" customHeight="1">
      <c r="D9" s="362" t="s">
        <v>88</v>
      </c>
      <c r="E9" s="362" t="s">
        <v>1898</v>
      </c>
      <c r="F9" s="362"/>
      <c r="G9" s="362"/>
      <c r="H9" s="362"/>
      <c r="I9" s="362"/>
      <c r="M9" s="143">
        <v>28</v>
      </c>
    </row>
    <row r="10" ht="24" customHeight="1">
      <c r="D10" s="362"/>
      <c r="E10" s="362" t="s">
        <v>1899</v>
      </c>
      <c r="F10" s="362" t="s">
        <v>1900</v>
      </c>
      <c r="G10" s="362" t="s">
        <v>1901</v>
      </c>
      <c r="H10" s="362" t="s">
        <v>392</v>
      </c>
      <c r="I10" s="362"/>
      <c r="M10" s="143">
        <v>23</v>
      </c>
    </row>
    <row r="11" ht="12" hidden="1" customHeight="1">
      <c r="D11" s="439" t="s">
        <v>109</v>
      </c>
      <c r="E11" s="439" t="s">
        <v>91</v>
      </c>
      <c r="F11" s="439" t="s">
        <v>111</v>
      </c>
      <c r="G11" s="439" t="s">
        <v>92</v>
      </c>
      <c r="H11" s="439" t="s">
        <v>93</v>
      </c>
      <c r="I11" s="439" t="s">
        <v>112</v>
      </c>
      <c r="M11" s="143">
        <v>0</v>
      </c>
    </row>
    <row r="12" s="143" customFormat="1" ht="26.25" customHeight="1">
      <c r="A12" s="64" t="s">
        <v>90</v>
      </c>
      <c r="B12" s="143" t="s">
        <v>28</v>
      </c>
      <c r="C12" s="339"/>
      <c r="D12" s="218" t="s">
        <v>109</v>
      </c>
      <c r="E12" s="462"/>
      <c r="F12" s="462"/>
      <c r="G12" s="524" t="s">
        <v>28</v>
      </c>
      <c r="H12" s="484"/>
      <c r="I12" s="285" t="s">
        <v>1902</v>
      </c>
      <c r="K12" s="1175"/>
      <c r="L12" s="167"/>
      <c r="M12" s="143">
        <v>25</v>
      </c>
    </row>
    <row r="13" ht="15.75" customHeight="1">
      <c r="A13" s="143"/>
      <c r="B13" s="143"/>
      <c r="C13" s="143"/>
      <c r="D13" s="888"/>
      <c r="E13" s="177" t="s">
        <v>467</v>
      </c>
      <c r="F13" s="1019"/>
      <c r="G13" s="1019"/>
      <c r="H13" s="889"/>
      <c r="I13" s="289"/>
      <c r="M13" s="143">
        <v>15</v>
      </c>
    </row>
    <row r="14" ht="3" customHeight="1">
      <c r="A14" s="143"/>
      <c r="B14" s="143"/>
      <c r="C14" s="143"/>
      <c r="M14" s="143">
        <v>3</v>
      </c>
    </row>
    <row r="15" ht="29.25" customHeight="1">
      <c r="E15" s="1176" t="s">
        <v>1903</v>
      </c>
      <c r="F15" s="1176"/>
      <c r="G15" s="1176"/>
      <c r="H15" s="1176"/>
      <c r="M15" s="143">
        <v>28</v>
      </c>
    </row>
    <row r="16" ht="14.25" hidden="1" customHeight="1">
      <c r="A16" s="311" t="s">
        <v>82</v>
      </c>
      <c r="B16" s="143">
        <v>0</v>
      </c>
      <c r="C16" s="1172">
        <v>3</v>
      </c>
      <c r="D16" s="143">
        <v>6</v>
      </c>
      <c r="E16" s="143">
        <v>22</v>
      </c>
      <c r="F16" s="143">
        <v>15</v>
      </c>
      <c r="G16" s="143">
        <v>14</v>
      </c>
      <c r="H16" s="143">
        <v>47</v>
      </c>
      <c r="I16" s="143">
        <v>115</v>
      </c>
      <c r="J16" s="143">
        <v>3</v>
      </c>
      <c r="K16" s="143">
        <v>8</v>
      </c>
      <c r="L16" s="143">
        <v>8</v>
      </c>
      <c r="M16" s="143">
        <v>14</v>
      </c>
    </row>
  </sheetData>
  <sheetProtection autoFilter="0" deleteColumns="0" deleteRows="0" formatCells="1" formatColumns="0" formatRows="0" insertColumns="1" insertHyperlinks="1" insertRows="0" pivotTables="1" selectLockedCells="0" selectUnlockedCells="0" sheet="0" sort="0"/>
  <mergeCells count="7">
    <mergeCell ref="E15:H15"/>
    <mergeCell ref="D5:H5"/>
    <mergeCell ref="I12:I13"/>
    <mergeCell ref="D8:H8"/>
    <mergeCell ref="I8:I10"/>
    <mergeCell ref="E9:H9"/>
    <mergeCell ref="D9:D10"/>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5600D2-0026-4C5A-8D3E-00E500E000BF}"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 xr:uid="{00C60022-005D-414D-912C-006D00BF003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E12" activeCellId="0" sqref="E12"/>
    </sheetView>
  </sheetViews>
  <sheetFormatPr defaultColWidth="9.140625" defaultRowHeight="14.25" customHeight="1"/>
  <cols>
    <col hidden="1" min="1" max="2" style="1177" width="9.140625"/>
    <col customWidth="1" min="3" max="3" style="1178" width="3.00390625"/>
    <col customWidth="1" min="4" max="4" style="1177" width="6.00390625"/>
    <col customWidth="1" min="5" max="5" style="1177" width="125.7109375"/>
    <col customWidth="1" min="6" max="9" style="1177" width="8.00390625"/>
    <col hidden="1" min="10" max="10" style="1177" width="9.140625"/>
  </cols>
  <sheetData>
    <row r="1" ht="14.25" hidden="1" customHeight="1">
      <c r="J1" s="1177" t="s">
        <v>14</v>
      </c>
    </row>
    <row r="2" ht="14.25" hidden="1" customHeight="1">
      <c r="J2" s="1177">
        <v>0</v>
      </c>
    </row>
    <row r="3" ht="14.25" hidden="1" customHeight="1">
      <c r="J3" s="1177">
        <v>0</v>
      </c>
    </row>
    <row r="4" ht="14.25" hidden="1" customHeight="1">
      <c r="J4" s="1177">
        <v>0</v>
      </c>
    </row>
    <row r="5" ht="14.25" hidden="1" customHeight="1">
      <c r="J5" s="1177">
        <v>0</v>
      </c>
    </row>
    <row r="6" ht="3" customHeight="1">
      <c r="C6" s="1179"/>
      <c r="D6" s="348"/>
      <c r="E6" s="348"/>
      <c r="J6" s="1177">
        <v>3</v>
      </c>
    </row>
    <row r="7" ht="23.25" customHeight="1">
      <c r="C7" s="1179"/>
      <c r="D7" s="845" t="s">
        <v>1904</v>
      </c>
      <c r="E7" s="813"/>
      <c r="F7" s="1180"/>
      <c r="J7" s="1177">
        <v>22</v>
      </c>
    </row>
    <row r="8" ht="3" customHeight="1">
      <c r="C8" s="1179"/>
      <c r="D8" s="348"/>
      <c r="E8" s="348"/>
      <c r="J8" s="1177">
        <v>3</v>
      </c>
    </row>
    <row r="9" ht="16.800000000000001" customHeight="1">
      <c r="C9" s="1179"/>
      <c r="D9" s="362" t="s">
        <v>88</v>
      </c>
      <c r="E9" s="157" t="s">
        <v>1905</v>
      </c>
      <c r="J9" s="1177">
        <v>16</v>
      </c>
    </row>
    <row r="10" ht="1.05" customHeight="1">
      <c r="C10" s="1179"/>
      <c r="D10" s="439"/>
      <c r="E10" s="439"/>
      <c r="J10" s="1177">
        <v>1</v>
      </c>
    </row>
    <row r="11" ht="11.25" hidden="1" customHeight="1">
      <c r="C11" s="1179"/>
      <c r="D11" s="1181">
        <v>0</v>
      </c>
      <c r="E11" s="1182"/>
      <c r="J11" s="1177">
        <v>0</v>
      </c>
    </row>
    <row r="12" ht="24" customHeight="1">
      <c r="C12" s="396"/>
      <c r="D12" s="885">
        <v>1</v>
      </c>
      <c r="E12" s="462" t="s">
        <v>1906</v>
      </c>
      <c r="J12" s="1177">
        <v>15</v>
      </c>
    </row>
    <row r="13" ht="12.75" customHeight="1">
      <c r="C13" s="1179"/>
      <c r="D13" s="453"/>
      <c r="E13" s="1183" t="s">
        <v>1907</v>
      </c>
      <c r="J13" s="1177">
        <v>12</v>
      </c>
    </row>
    <row r="14" ht="3" customHeight="1">
      <c r="J14" s="1177">
        <v>3</v>
      </c>
    </row>
    <row r="15" ht="23.25" customHeight="1">
      <c r="C15" s="1184"/>
      <c r="D15" s="1176" t="s">
        <v>1908</v>
      </c>
      <c r="E15" s="1176"/>
      <c r="F15" s="972"/>
      <c r="G15" s="972"/>
      <c r="H15" s="972"/>
      <c r="I15" s="972"/>
      <c r="J15" s="1177">
        <v>22</v>
      </c>
    </row>
    <row r="16" ht="14.25" hidden="1" customHeight="1">
      <c r="A16" s="1177" t="s">
        <v>82</v>
      </c>
      <c r="B16" s="1177">
        <v>0</v>
      </c>
      <c r="C16" s="1178">
        <v>3</v>
      </c>
      <c r="D16" s="1177">
        <v>6</v>
      </c>
      <c r="E16" s="1177">
        <v>94</v>
      </c>
      <c r="F16" s="1177">
        <v>8</v>
      </c>
      <c r="G16" s="1177">
        <v>8</v>
      </c>
      <c r="H16" s="1177">
        <v>8</v>
      </c>
      <c r="I16" s="1177">
        <v>8</v>
      </c>
      <c r="J16" s="1177">
        <v>14</v>
      </c>
    </row>
  </sheetData>
  <sheetProtection autoFilter="0" deleteColumns="0" deleteRows="0" formatCells="1" formatColumns="0" formatRows="0" insertColumns="1" insertHyperlinks="1" insertRows="0" pivotTables="1" selectLockedCells="0" selectUnlockedCells="0" sheet="0" sort="0"/>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3D009F-00BE-4243-BD6E-001E004900E9}"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A1" activeCellId="0" sqref="A1"/>
    </sheetView>
  </sheetViews>
  <sheetFormatPr defaultColWidth="9.140625" defaultRowHeight="14.25" customHeight="1"/>
  <cols>
    <col hidden="1" min="1" max="2" style="1177" width="9.140625"/>
    <col customWidth="1" min="3" max="3" style="1178" width="3.00390625"/>
    <col customWidth="1" min="4" max="4" style="1177" width="6.00390625"/>
    <col customWidth="1" min="5" max="5" style="1177" width="94.00390625"/>
    <col customWidth="1" min="6" max="12" style="1177" width="8.00390625"/>
    <col hidden="1" min="13" max="13" style="1177" width="9.140625"/>
  </cols>
  <sheetData>
    <row r="1" ht="14.25" hidden="1" customHeight="1">
      <c r="L1" s="1177"/>
      <c r="M1" s="1177" t="s">
        <v>14</v>
      </c>
    </row>
    <row r="2" ht="14.25" hidden="1" customHeight="1">
      <c r="M2" s="1177">
        <v>0</v>
      </c>
    </row>
    <row r="3" ht="14.25" hidden="1" customHeight="1">
      <c r="M3" s="1177">
        <v>0</v>
      </c>
    </row>
    <row r="4" ht="14.25" hidden="1" customHeight="1">
      <c r="M4" s="1177">
        <v>0</v>
      </c>
    </row>
    <row r="5" ht="14.25" hidden="1" customHeight="1">
      <c r="M5" s="1177">
        <v>0</v>
      </c>
    </row>
    <row r="6" ht="3" customHeight="1">
      <c r="C6" s="1179"/>
      <c r="D6" s="348"/>
      <c r="E6" s="348"/>
      <c r="M6" s="1177">
        <v>3</v>
      </c>
    </row>
    <row r="7" ht="23.25" customHeight="1">
      <c r="C7" s="1179"/>
      <c r="D7" s="141" t="s">
        <v>1909</v>
      </c>
      <c r="E7" s="141"/>
      <c r="F7" s="1180"/>
      <c r="M7" s="1177">
        <v>22</v>
      </c>
    </row>
    <row r="8" ht="3" customHeight="1">
      <c r="C8" s="1179"/>
      <c r="D8" s="348"/>
      <c r="E8" s="348"/>
      <c r="M8" s="1177">
        <v>3</v>
      </c>
    </row>
    <row r="9" ht="16.800000000000001" customHeight="1">
      <c r="C9" s="1179"/>
      <c r="D9" s="362" t="s">
        <v>88</v>
      </c>
      <c r="E9" s="246" t="s">
        <v>289</v>
      </c>
      <c r="M9" s="1177">
        <v>16</v>
      </c>
    </row>
    <row r="10" ht="12.75" customHeight="1">
      <c r="C10" s="1179"/>
      <c r="D10" s="439" t="s">
        <v>109</v>
      </c>
      <c r="E10" s="439" t="s">
        <v>110</v>
      </c>
      <c r="M10" s="1177">
        <v>12</v>
      </c>
    </row>
    <row r="11" ht="15" hidden="1" customHeight="1">
      <c r="C11" s="1179"/>
      <c r="D11" s="885">
        <v>0</v>
      </c>
      <c r="E11" s="472"/>
      <c r="M11" s="1177">
        <v>0</v>
      </c>
    </row>
    <row r="12" ht="14.65" customHeight="1">
      <c r="C12" s="1179"/>
      <c r="D12" s="888"/>
      <c r="E12" s="1183" t="s">
        <v>1907</v>
      </c>
      <c r="M12" s="1177">
        <v>14</v>
      </c>
    </row>
    <row r="13" ht="14.25" hidden="1" customHeight="1">
      <c r="A13" s="1177" t="s">
        <v>82</v>
      </c>
      <c r="B13" s="1177">
        <v>0</v>
      </c>
      <c r="C13" s="1178">
        <v>3</v>
      </c>
      <c r="D13" s="1177">
        <v>6</v>
      </c>
      <c r="E13" s="1177">
        <v>94</v>
      </c>
      <c r="F13" s="1177">
        <v>8</v>
      </c>
      <c r="G13" s="1177">
        <v>8</v>
      </c>
      <c r="H13" s="1177">
        <v>8</v>
      </c>
      <c r="I13" s="1177">
        <v>8</v>
      </c>
      <c r="J13" s="1177">
        <v>8</v>
      </c>
      <c r="K13" s="1177">
        <v>8</v>
      </c>
      <c r="L13" s="1177">
        <v>8</v>
      </c>
      <c r="M13" s="1177">
        <v>14</v>
      </c>
    </row>
  </sheetData>
  <sheetProtection autoFilter="0" deleteColumns="0" deleteRows="0" formatCells="1" formatColumns="0" formatRows="0" insertColumns="1" insertHyperlinks="1" insertRows="0" pivotTables="1" selectLockedCells="0" selectUnlockedCells="0" sheet="0" sort="0"/>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BE00F7-0019-41FF-8CC1-000600D4005A}"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11" width="8.00390625"/>
    <col customWidth="1" min="38" max="64" style="63" width="8.00390625"/>
    <col hidden="1" min="65" max="65" style="63" width="9.140625"/>
  </cols>
  <sheetData>
    <row r="1" s="167"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7" t="s">
        <v>14</v>
      </c>
    </row>
    <row r="2" s="312" customFormat="1" ht="11.25" hidden="1" customHeight="1">
      <c r="L2" s="312" t="s">
        <v>281</v>
      </c>
      <c r="M2" s="312" t="s">
        <v>282</v>
      </c>
      <c r="R2" s="312" t="s">
        <v>283</v>
      </c>
      <c r="S2" s="312" t="s">
        <v>282</v>
      </c>
      <c r="X2" s="312" t="s">
        <v>281</v>
      </c>
      <c r="Y2" s="312" t="s">
        <v>282</v>
      </c>
      <c r="AD2" s="312" t="s">
        <v>281</v>
      </c>
      <c r="AE2" s="312" t="s">
        <v>282</v>
      </c>
      <c r="AJ2" s="313"/>
      <c r="AK2" s="313"/>
      <c r="AL2" s="313"/>
      <c r="AM2" s="313"/>
      <c r="AN2" s="313"/>
      <c r="AO2" s="313"/>
      <c r="AP2" s="313"/>
      <c r="AQ2" s="313"/>
      <c r="AR2" s="313"/>
      <c r="AS2" s="313"/>
      <c r="AT2" s="313"/>
      <c r="AU2" s="313"/>
      <c r="AV2" s="313"/>
      <c r="AW2" s="313"/>
      <c r="AX2" s="313"/>
      <c r="AY2" s="313"/>
      <c r="AZ2" s="313"/>
      <c r="BA2" s="313"/>
      <c r="BB2" s="313"/>
      <c r="BC2" s="313"/>
      <c r="BD2" s="313"/>
      <c r="BE2" s="313"/>
      <c r="BF2" s="313"/>
      <c r="BG2" s="313"/>
      <c r="BH2" s="313"/>
      <c r="BI2" s="313"/>
      <c r="BJ2" s="313"/>
      <c r="BK2" s="313"/>
      <c r="BL2" s="313"/>
      <c r="BM2" s="312">
        <v>0</v>
      </c>
    </row>
    <row r="3" s="314" customFormat="1" ht="11.5" customHeight="1">
      <c r="AJ3" s="63"/>
      <c r="AK3" s="311"/>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14">
        <v>11</v>
      </c>
    </row>
    <row r="4" s="139" customFormat="1" ht="34.5" customHeight="1">
      <c r="A4" s="56"/>
      <c r="B4" s="50"/>
      <c r="C4" s="128"/>
      <c r="D4" s="315" t="s">
        <v>284</v>
      </c>
      <c r="E4" s="315"/>
      <c r="F4" s="315"/>
      <c r="G4" s="315"/>
      <c r="H4" s="315"/>
      <c r="I4" s="315"/>
      <c r="J4" s="315"/>
      <c r="K4" s="316"/>
      <c r="T4" s="317"/>
      <c r="AJ4" s="318"/>
      <c r="AK4" s="319"/>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139">
        <v>33</v>
      </c>
    </row>
    <row r="5" s="139" customFormat="1" ht="14.65" customHeight="1">
      <c r="A5" s="56"/>
      <c r="B5" s="50"/>
      <c r="C5" s="128"/>
      <c r="D5" s="320" t="str">
        <f>IF(org=0,"Не определено",org)</f>
        <v xml:space="preserve">филиал Пермская ГРЭС АО "Интер РАО - Электрогенерация"</v>
      </c>
      <c r="E5" s="320"/>
      <c r="F5" s="320"/>
      <c r="G5" s="320"/>
      <c r="H5" s="320"/>
      <c r="I5" s="320"/>
      <c r="J5" s="320"/>
      <c r="K5" s="316"/>
      <c r="T5" s="317"/>
      <c r="AJ5" s="318"/>
      <c r="AK5" s="319"/>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139">
        <v>14</v>
      </c>
    </row>
    <row r="6" s="139" customFormat="1" ht="14.65" customHeight="1">
      <c r="A6" s="56"/>
      <c r="B6" s="50"/>
      <c r="C6" s="128"/>
      <c r="D6" s="316"/>
      <c r="E6" s="316"/>
      <c r="F6" s="316"/>
      <c r="G6" s="316"/>
      <c r="H6" s="316"/>
      <c r="I6" s="316"/>
      <c r="J6" s="316"/>
      <c r="K6" s="316"/>
      <c r="T6" s="317"/>
      <c r="AJ6" s="318"/>
      <c r="AK6" s="319"/>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139">
        <v>14</v>
      </c>
    </row>
    <row r="7" s="167"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7">
        <v>1</v>
      </c>
    </row>
    <row r="8" ht="33.75" customHeight="1">
      <c r="D8" s="157" t="s">
        <v>88</v>
      </c>
      <c r="E8" s="157" t="s">
        <v>105</v>
      </c>
      <c r="F8" s="321" t="s">
        <v>122</v>
      </c>
      <c r="G8" s="322"/>
      <c r="H8" s="321" t="s">
        <v>88</v>
      </c>
      <c r="I8" s="322"/>
      <c r="J8" s="157" t="s">
        <v>123</v>
      </c>
      <c r="K8" s="323"/>
      <c r="L8" s="324" t="s">
        <v>285</v>
      </c>
      <c r="M8" s="324"/>
      <c r="N8" s="324"/>
      <c r="O8" s="324"/>
      <c r="P8" s="324"/>
      <c r="Q8" s="321"/>
      <c r="R8" s="73" t="s">
        <v>286</v>
      </c>
      <c r="S8" s="145"/>
      <c r="T8" s="145"/>
      <c r="U8" s="145"/>
      <c r="V8" s="145"/>
      <c r="W8" s="321"/>
      <c r="X8" s="157" t="s">
        <v>287</v>
      </c>
      <c r="Y8" s="157"/>
      <c r="Z8" s="157"/>
      <c r="AA8" s="157"/>
      <c r="AB8" s="157"/>
      <c r="AC8" s="324"/>
      <c r="AD8" s="157" t="s">
        <v>288</v>
      </c>
      <c r="AE8" s="157"/>
      <c r="AF8" s="157"/>
      <c r="AG8" s="157"/>
      <c r="AH8" s="73"/>
      <c r="AI8" s="157" t="s">
        <v>289</v>
      </c>
      <c r="AJ8" s="63"/>
      <c r="BM8" s="63">
        <v>32</v>
      </c>
    </row>
    <row r="9" ht="23.25" customHeight="1">
      <c r="D9" s="157"/>
      <c r="E9" s="157"/>
      <c r="F9" s="324" t="s">
        <v>89</v>
      </c>
      <c r="G9" s="324" t="s">
        <v>128</v>
      </c>
      <c r="H9" s="325"/>
      <c r="I9" s="326"/>
      <c r="J9" s="73"/>
      <c r="K9" s="325"/>
      <c r="L9" s="157" t="s">
        <v>290</v>
      </c>
      <c r="M9" s="73"/>
      <c r="N9" s="321" t="s">
        <v>88</v>
      </c>
      <c r="O9" s="322"/>
      <c r="P9" s="157" t="s">
        <v>129</v>
      </c>
      <c r="Q9" s="323"/>
      <c r="R9" s="157" t="s">
        <v>290</v>
      </c>
      <c r="S9" s="73"/>
      <c r="T9" s="321" t="s">
        <v>88</v>
      </c>
      <c r="U9" s="322"/>
      <c r="V9" s="157" t="s">
        <v>129</v>
      </c>
      <c r="W9" s="323"/>
      <c r="X9" s="157" t="s">
        <v>290</v>
      </c>
      <c r="Y9" s="73"/>
      <c r="Z9" s="321" t="s">
        <v>88</v>
      </c>
      <c r="AA9" s="322"/>
      <c r="AB9" s="157" t="s">
        <v>291</v>
      </c>
      <c r="AC9" s="323"/>
      <c r="AD9" s="157" t="s">
        <v>290</v>
      </c>
      <c r="AE9" s="73"/>
      <c r="AF9" s="321" t="s">
        <v>88</v>
      </c>
      <c r="AG9" s="322"/>
      <c r="AH9" s="73" t="s">
        <v>291</v>
      </c>
      <c r="AI9" s="157"/>
      <c r="AJ9" s="63"/>
      <c r="BM9" s="63">
        <v>22</v>
      </c>
    </row>
    <row r="10" ht="24" customHeight="1">
      <c r="D10" s="324"/>
      <c r="E10" s="324"/>
      <c r="F10" s="323"/>
      <c r="G10" s="323"/>
      <c r="H10" s="327"/>
      <c r="I10" s="328"/>
      <c r="J10" s="321"/>
      <c r="K10" s="325"/>
      <c r="L10" s="324" t="s">
        <v>292</v>
      </c>
      <c r="M10" s="321" t="s">
        <v>293</v>
      </c>
      <c r="N10" s="325"/>
      <c r="O10" s="326"/>
      <c r="P10" s="324"/>
      <c r="Q10" s="323"/>
      <c r="R10" s="324" t="s">
        <v>292</v>
      </c>
      <c r="S10" s="321" t="s">
        <v>293</v>
      </c>
      <c r="T10" s="325"/>
      <c r="U10" s="326"/>
      <c r="V10" s="324"/>
      <c r="W10" s="323"/>
      <c r="X10" s="324" t="s">
        <v>292</v>
      </c>
      <c r="Y10" s="321" t="s">
        <v>293</v>
      </c>
      <c r="Z10" s="325"/>
      <c r="AA10" s="326"/>
      <c r="AB10" s="324"/>
      <c r="AC10" s="323"/>
      <c r="AD10" s="324" t="s">
        <v>292</v>
      </c>
      <c r="AE10" s="321" t="s">
        <v>293</v>
      </c>
      <c r="AF10" s="325"/>
      <c r="AG10" s="326"/>
      <c r="AH10" s="321"/>
      <c r="AI10" s="324"/>
      <c r="AJ10" s="63"/>
      <c r="AK10" s="143" t="s">
        <v>294</v>
      </c>
      <c r="AL10" s="143" t="s">
        <v>130</v>
      </c>
      <c r="BM10" s="63">
        <v>23</v>
      </c>
    </row>
    <row r="11" ht="15" customHeight="1">
      <c r="D11" s="329" t="s">
        <v>109</v>
      </c>
      <c r="E11" s="330" t="s">
        <v>295</v>
      </c>
      <c r="F11" s="330" t="s">
        <v>296</v>
      </c>
      <c r="G11" s="296" t="s">
        <v>19</v>
      </c>
      <c r="H11" s="331"/>
      <c r="I11" s="332"/>
      <c r="J11" s="259"/>
      <c r="K11" s="259"/>
      <c r="L11" s="260"/>
      <c r="M11" s="260"/>
      <c r="N11" s="333"/>
      <c r="O11" s="260"/>
      <c r="P11" s="259"/>
      <c r="Q11" s="259"/>
      <c r="R11" s="260"/>
      <c r="S11" s="260"/>
      <c r="T11" s="334"/>
      <c r="U11" s="260"/>
      <c r="V11" s="259"/>
      <c r="W11" s="260"/>
      <c r="X11" s="260"/>
      <c r="Y11" s="260"/>
      <c r="Z11" s="333"/>
      <c r="AA11" s="260"/>
      <c r="AB11" s="259"/>
      <c r="AC11" s="335"/>
      <c r="AD11" s="260"/>
      <c r="AE11" s="260"/>
      <c r="AF11" s="260"/>
      <c r="AG11" s="260"/>
      <c r="AH11" s="333"/>
      <c r="AI11" s="263"/>
      <c r="AJ11" s="63"/>
      <c r="BM11" s="63">
        <v>14</v>
      </c>
    </row>
    <row r="12" ht="14.65" customHeight="1">
      <c r="D12" s="329"/>
      <c r="E12" s="330"/>
      <c r="F12" s="330"/>
      <c r="G12" s="301"/>
      <c r="H12" s="336"/>
      <c r="I12" s="337"/>
      <c r="J12" s="268"/>
      <c r="K12" s="86"/>
      <c r="L12" s="125"/>
      <c r="M12" s="125"/>
      <c r="N12" s="60"/>
      <c r="O12" s="125"/>
      <c r="P12" s="268"/>
      <c r="Q12" s="268"/>
      <c r="R12" s="125"/>
      <c r="S12" s="125"/>
      <c r="T12" s="338"/>
      <c r="U12" s="125"/>
      <c r="V12" s="268"/>
      <c r="W12" s="125"/>
      <c r="X12" s="125"/>
      <c r="Y12" s="125"/>
      <c r="Z12" s="60"/>
      <c r="AA12" s="125"/>
      <c r="AB12" s="268"/>
      <c r="AC12" s="86"/>
      <c r="AD12" s="125"/>
      <c r="AE12" s="125"/>
      <c r="AF12" s="271"/>
      <c r="AG12" s="271"/>
      <c r="AH12" s="271"/>
      <c r="AI12" s="272"/>
      <c r="AJ12" s="63"/>
      <c r="BM12" s="63">
        <v>14</v>
      </c>
    </row>
    <row r="13" ht="14.65" customHeight="1">
      <c r="D13" s="329"/>
      <c r="E13" s="330"/>
      <c r="F13" s="330"/>
      <c r="G13" s="301"/>
      <c r="H13" s="336"/>
      <c r="I13" s="337"/>
      <c r="J13" s="268"/>
      <c r="K13" s="86"/>
      <c r="L13" s="125"/>
      <c r="M13" s="125"/>
      <c r="N13" s="60"/>
      <c r="O13" s="125"/>
      <c r="P13" s="268"/>
      <c r="Q13" s="268"/>
      <c r="R13" s="125"/>
      <c r="S13" s="125"/>
      <c r="T13" s="338"/>
      <c r="U13" s="125"/>
      <c r="V13" s="268"/>
      <c r="W13" s="125"/>
      <c r="X13" s="125"/>
      <c r="Y13" s="125"/>
      <c r="Z13" s="125"/>
      <c r="AA13" s="271"/>
      <c r="AB13" s="271"/>
      <c r="AC13" s="271"/>
      <c r="AD13" s="271"/>
      <c r="AE13" s="271"/>
      <c r="AF13" s="271"/>
      <c r="AG13" s="271"/>
      <c r="AH13" s="271"/>
      <c r="AI13" s="272"/>
      <c r="AJ13" s="63"/>
      <c r="BM13" s="63">
        <v>14</v>
      </c>
    </row>
    <row r="14" ht="14.65" customHeight="1">
      <c r="D14" s="329"/>
      <c r="E14" s="330"/>
      <c r="F14" s="330"/>
      <c r="G14" s="301"/>
      <c r="H14" s="336"/>
      <c r="I14" s="337"/>
      <c r="J14" s="268"/>
      <c r="K14" s="86"/>
      <c r="L14" s="125"/>
      <c r="M14" s="125"/>
      <c r="N14" s="60"/>
      <c r="O14" s="125"/>
      <c r="P14" s="268"/>
      <c r="Q14" s="268"/>
      <c r="R14" s="125"/>
      <c r="S14" s="125"/>
      <c r="T14" s="339"/>
      <c r="U14" s="340"/>
      <c r="V14" s="271"/>
      <c r="W14" s="271"/>
      <c r="X14" s="271"/>
      <c r="Y14" s="271"/>
      <c r="Z14" s="271"/>
      <c r="AA14" s="271"/>
      <c r="AB14" s="271"/>
      <c r="AC14" s="271"/>
      <c r="AD14" s="271"/>
      <c r="AE14" s="271"/>
      <c r="AF14" s="271"/>
      <c r="AG14" s="271"/>
      <c r="AH14" s="271"/>
      <c r="AI14" s="272"/>
      <c r="AJ14" s="63"/>
      <c r="BM14" s="63">
        <v>14</v>
      </c>
    </row>
    <row r="15" ht="11.5" customHeight="1">
      <c r="D15" s="329"/>
      <c r="E15" s="330"/>
      <c r="F15" s="330"/>
      <c r="G15" s="301"/>
      <c r="H15" s="341"/>
      <c r="I15" s="337"/>
      <c r="J15" s="268"/>
      <c r="K15" s="86"/>
      <c r="L15" s="125"/>
      <c r="M15" s="125"/>
      <c r="N15" s="271"/>
      <c r="O15" s="271"/>
      <c r="P15" s="271"/>
      <c r="Q15" s="271"/>
      <c r="R15" s="271"/>
      <c r="S15" s="271"/>
      <c r="T15" s="271"/>
      <c r="U15" s="271"/>
      <c r="V15" s="271"/>
      <c r="W15" s="271"/>
      <c r="X15" s="271"/>
      <c r="Y15" s="271"/>
      <c r="Z15" s="271"/>
      <c r="AA15" s="271"/>
      <c r="AB15" s="271"/>
      <c r="AC15" s="271"/>
      <c r="AD15" s="271"/>
      <c r="AE15" s="271"/>
      <c r="AF15" s="271"/>
      <c r="AG15" s="271"/>
      <c r="AH15" s="271"/>
      <c r="AI15" s="272"/>
      <c r="AJ15" s="63"/>
      <c r="BM15" s="63">
        <v>11</v>
      </c>
    </row>
    <row r="16" s="314" customFormat="1" ht="11.5" customHeight="1">
      <c r="D16" s="342"/>
      <c r="E16" s="343"/>
      <c r="F16" s="344"/>
      <c r="G16" s="220"/>
      <c r="H16" s="345"/>
      <c r="I16" s="346"/>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80"/>
      <c r="AJ16" s="63"/>
      <c r="AK16" s="311"/>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14">
        <v>11</v>
      </c>
    </row>
    <row r="17" ht="15" customHeight="1">
      <c r="D17" s="329" t="s">
        <v>110</v>
      </c>
      <c r="E17" s="330" t="s">
        <v>295</v>
      </c>
      <c r="F17" s="330" t="s">
        <v>297</v>
      </c>
      <c r="G17" s="296" t="s">
        <v>19</v>
      </c>
      <c r="H17" s="331"/>
      <c r="I17" s="332"/>
      <c r="J17" s="259"/>
      <c r="K17" s="259"/>
      <c r="L17" s="260"/>
      <c r="M17" s="260"/>
      <c r="N17" s="333"/>
      <c r="O17" s="260"/>
      <c r="P17" s="259"/>
      <c r="Q17" s="259"/>
      <c r="R17" s="260"/>
      <c r="S17" s="260"/>
      <c r="T17" s="334"/>
      <c r="U17" s="260"/>
      <c r="V17" s="259"/>
      <c r="W17" s="260"/>
      <c r="X17" s="260"/>
      <c r="Y17" s="260"/>
      <c r="Z17" s="333"/>
      <c r="AA17" s="260"/>
      <c r="AB17" s="259"/>
      <c r="AC17" s="335"/>
      <c r="AD17" s="260"/>
      <c r="AE17" s="260"/>
      <c r="AF17" s="260"/>
      <c r="AG17" s="260"/>
      <c r="AH17" s="333"/>
      <c r="AI17" s="263"/>
      <c r="AJ17" s="63"/>
      <c r="BM17" s="63">
        <v>14</v>
      </c>
    </row>
    <row r="18" ht="14.65" customHeight="1">
      <c r="D18" s="329"/>
      <c r="E18" s="330"/>
      <c r="F18" s="330"/>
      <c r="G18" s="301"/>
      <c r="H18" s="336"/>
      <c r="I18" s="337"/>
      <c r="J18" s="268"/>
      <c r="K18" s="86"/>
      <c r="L18" s="125"/>
      <c r="M18" s="125"/>
      <c r="N18" s="60"/>
      <c r="O18" s="125"/>
      <c r="P18" s="268"/>
      <c r="Q18" s="268"/>
      <c r="R18" s="125"/>
      <c r="S18" s="125"/>
      <c r="T18" s="338"/>
      <c r="U18" s="125"/>
      <c r="V18" s="268"/>
      <c r="W18" s="125"/>
      <c r="X18" s="125"/>
      <c r="Y18" s="125"/>
      <c r="Z18" s="60"/>
      <c r="AA18" s="125"/>
      <c r="AB18" s="268"/>
      <c r="AC18" s="86"/>
      <c r="AD18" s="125"/>
      <c r="AE18" s="125"/>
      <c r="AF18" s="271"/>
      <c r="AG18" s="271"/>
      <c r="AH18" s="271"/>
      <c r="AI18" s="272"/>
      <c r="AJ18" s="63"/>
      <c r="BM18" s="63">
        <v>14</v>
      </c>
    </row>
    <row r="19" ht="14.65" customHeight="1">
      <c r="D19" s="329"/>
      <c r="E19" s="330"/>
      <c r="F19" s="330"/>
      <c r="G19" s="301"/>
      <c r="H19" s="336"/>
      <c r="I19" s="337"/>
      <c r="J19" s="268"/>
      <c r="K19" s="86"/>
      <c r="L19" s="125"/>
      <c r="M19" s="125"/>
      <c r="N19" s="60"/>
      <c r="O19" s="125"/>
      <c r="P19" s="268"/>
      <c r="Q19" s="268"/>
      <c r="R19" s="125"/>
      <c r="S19" s="125"/>
      <c r="T19" s="338"/>
      <c r="U19" s="125"/>
      <c r="V19" s="268"/>
      <c r="W19" s="125"/>
      <c r="X19" s="125"/>
      <c r="Y19" s="125"/>
      <c r="Z19" s="125"/>
      <c r="AA19" s="271"/>
      <c r="AB19" s="271"/>
      <c r="AC19" s="271"/>
      <c r="AD19" s="271"/>
      <c r="AE19" s="271"/>
      <c r="AF19" s="271"/>
      <c r="AG19" s="271"/>
      <c r="AH19" s="271"/>
      <c r="AI19" s="272"/>
      <c r="AJ19" s="63"/>
      <c r="BM19" s="63">
        <v>14</v>
      </c>
    </row>
    <row r="20" ht="14.65" customHeight="1">
      <c r="D20" s="329"/>
      <c r="E20" s="330"/>
      <c r="F20" s="330"/>
      <c r="G20" s="301"/>
      <c r="H20" s="336"/>
      <c r="I20" s="337"/>
      <c r="J20" s="268"/>
      <c r="K20" s="86"/>
      <c r="L20" s="125"/>
      <c r="M20" s="125"/>
      <c r="N20" s="60"/>
      <c r="O20" s="125"/>
      <c r="P20" s="268"/>
      <c r="Q20" s="268"/>
      <c r="R20" s="125"/>
      <c r="S20" s="125"/>
      <c r="T20" s="339"/>
      <c r="U20" s="340"/>
      <c r="V20" s="271"/>
      <c r="W20" s="271"/>
      <c r="X20" s="271"/>
      <c r="Y20" s="271"/>
      <c r="Z20" s="271"/>
      <c r="AA20" s="271"/>
      <c r="AB20" s="271"/>
      <c r="AC20" s="271"/>
      <c r="AD20" s="271"/>
      <c r="AE20" s="271"/>
      <c r="AF20" s="271"/>
      <c r="AG20" s="271"/>
      <c r="AH20" s="271"/>
      <c r="AI20" s="272"/>
      <c r="AJ20" s="63"/>
      <c r="BM20" s="63">
        <v>14</v>
      </c>
    </row>
    <row r="21" ht="11.5" customHeight="1">
      <c r="D21" s="329"/>
      <c r="E21" s="330"/>
      <c r="F21" s="330"/>
      <c r="G21" s="301"/>
      <c r="H21" s="341"/>
      <c r="I21" s="337"/>
      <c r="J21" s="268"/>
      <c r="K21" s="86"/>
      <c r="L21" s="125"/>
      <c r="M21" s="125"/>
      <c r="N21" s="271"/>
      <c r="O21" s="271"/>
      <c r="P21" s="271"/>
      <c r="Q21" s="271"/>
      <c r="R21" s="271"/>
      <c r="S21" s="271"/>
      <c r="T21" s="271"/>
      <c r="U21" s="271"/>
      <c r="V21" s="271"/>
      <c r="W21" s="271"/>
      <c r="X21" s="271"/>
      <c r="Y21" s="271"/>
      <c r="Z21" s="271"/>
      <c r="AA21" s="271"/>
      <c r="AB21" s="271"/>
      <c r="AC21" s="271"/>
      <c r="AD21" s="271"/>
      <c r="AE21" s="271"/>
      <c r="AF21" s="271"/>
      <c r="AG21" s="271"/>
      <c r="AH21" s="271"/>
      <c r="AI21" s="272"/>
      <c r="AJ21" s="63"/>
      <c r="BM21" s="63">
        <v>11</v>
      </c>
    </row>
    <row r="22" s="314" customFormat="1" ht="11.5" customHeight="1">
      <c r="D22" s="342"/>
      <c r="E22" s="343"/>
      <c r="F22" s="344"/>
      <c r="G22" s="220"/>
      <c r="H22" s="345"/>
      <c r="I22" s="346"/>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80"/>
      <c r="AJ22" s="63"/>
      <c r="AK22" s="311"/>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14">
        <v>11</v>
      </c>
    </row>
    <row r="23" ht="15" customHeight="1">
      <c r="D23" s="329" t="s">
        <v>90</v>
      </c>
      <c r="E23" s="330" t="s">
        <v>295</v>
      </c>
      <c r="F23" s="330" t="s">
        <v>298</v>
      </c>
      <c r="G23" s="296" t="s">
        <v>19</v>
      </c>
      <c r="H23" s="331"/>
      <c r="I23" s="332"/>
      <c r="J23" s="259"/>
      <c r="K23" s="259"/>
      <c r="L23" s="260"/>
      <c r="M23" s="260"/>
      <c r="N23" s="333"/>
      <c r="O23" s="260"/>
      <c r="P23" s="259"/>
      <c r="Q23" s="259"/>
      <c r="R23" s="260"/>
      <c r="S23" s="260"/>
      <c r="T23" s="334"/>
      <c r="U23" s="260"/>
      <c r="V23" s="259"/>
      <c r="W23" s="260"/>
      <c r="X23" s="260"/>
      <c r="Y23" s="260"/>
      <c r="Z23" s="333"/>
      <c r="AA23" s="260"/>
      <c r="AB23" s="259"/>
      <c r="AC23" s="335"/>
      <c r="AD23" s="260"/>
      <c r="AE23" s="260"/>
      <c r="AF23" s="260"/>
      <c r="AG23" s="260"/>
      <c r="AH23" s="333"/>
      <c r="AI23" s="263"/>
      <c r="AJ23" s="63"/>
      <c r="AK23" s="311" t="s">
        <v>98</v>
      </c>
      <c r="BM23" s="63">
        <v>14</v>
      </c>
    </row>
    <row r="24" ht="14.65" customHeight="1">
      <c r="D24" s="329"/>
      <c r="E24" s="330"/>
      <c r="F24" s="330"/>
      <c r="G24" s="301"/>
      <c r="H24" s="336"/>
      <c r="I24" s="337"/>
      <c r="J24" s="268"/>
      <c r="K24" s="86"/>
      <c r="L24" s="125"/>
      <c r="M24" s="125"/>
      <c r="N24" s="60"/>
      <c r="O24" s="125"/>
      <c r="P24" s="268"/>
      <c r="Q24" s="268"/>
      <c r="R24" s="125"/>
      <c r="S24" s="125"/>
      <c r="T24" s="338"/>
      <c r="U24" s="125"/>
      <c r="V24" s="268"/>
      <c r="W24" s="125"/>
      <c r="X24" s="125"/>
      <c r="Y24" s="125"/>
      <c r="Z24" s="60"/>
      <c r="AA24" s="125"/>
      <c r="AB24" s="268"/>
      <c r="AC24" s="86"/>
      <c r="AD24" s="125"/>
      <c r="AE24" s="125"/>
      <c r="AF24" s="271"/>
      <c r="AG24" s="271"/>
      <c r="AH24" s="271"/>
      <c r="AI24" s="272"/>
      <c r="AJ24" s="63"/>
      <c r="BM24" s="63">
        <v>14</v>
      </c>
    </row>
    <row r="25" ht="14.65" customHeight="1">
      <c r="D25" s="329"/>
      <c r="E25" s="330"/>
      <c r="F25" s="330"/>
      <c r="G25" s="301"/>
      <c r="H25" s="336"/>
      <c r="I25" s="337"/>
      <c r="J25" s="268"/>
      <c r="K25" s="86"/>
      <c r="L25" s="125"/>
      <c r="M25" s="125"/>
      <c r="N25" s="60"/>
      <c r="O25" s="125"/>
      <c r="P25" s="268"/>
      <c r="Q25" s="268"/>
      <c r="R25" s="125"/>
      <c r="S25" s="125"/>
      <c r="T25" s="338"/>
      <c r="U25" s="125"/>
      <c r="V25" s="268"/>
      <c r="W25" s="125"/>
      <c r="X25" s="125"/>
      <c r="Y25" s="125"/>
      <c r="Z25" s="125"/>
      <c r="AA25" s="271"/>
      <c r="AB25" s="271"/>
      <c r="AC25" s="271"/>
      <c r="AD25" s="271"/>
      <c r="AE25" s="271"/>
      <c r="AF25" s="271"/>
      <c r="AG25" s="271"/>
      <c r="AH25" s="271"/>
      <c r="AI25" s="272"/>
      <c r="AJ25" s="63"/>
      <c r="BM25" s="63">
        <v>14</v>
      </c>
    </row>
    <row r="26" ht="14.65" customHeight="1">
      <c r="D26" s="329"/>
      <c r="E26" s="330"/>
      <c r="F26" s="330"/>
      <c r="G26" s="301"/>
      <c r="H26" s="336"/>
      <c r="I26" s="337"/>
      <c r="J26" s="268"/>
      <c r="K26" s="86"/>
      <c r="L26" s="125"/>
      <c r="M26" s="125"/>
      <c r="N26" s="60"/>
      <c r="O26" s="125"/>
      <c r="P26" s="268"/>
      <c r="Q26" s="268"/>
      <c r="R26" s="125"/>
      <c r="S26" s="125"/>
      <c r="T26" s="339"/>
      <c r="U26" s="340"/>
      <c r="V26" s="271"/>
      <c r="W26" s="271"/>
      <c r="X26" s="271"/>
      <c r="Y26" s="271"/>
      <c r="Z26" s="271"/>
      <c r="AA26" s="271"/>
      <c r="AB26" s="271"/>
      <c r="AC26" s="271"/>
      <c r="AD26" s="271"/>
      <c r="AE26" s="271"/>
      <c r="AF26" s="271"/>
      <c r="AG26" s="271"/>
      <c r="AH26" s="271"/>
      <c r="AI26" s="272"/>
      <c r="AJ26" s="63"/>
      <c r="BM26" s="63">
        <v>14</v>
      </c>
    </row>
    <row r="27" ht="11.5" customHeight="1">
      <c r="D27" s="329"/>
      <c r="E27" s="330"/>
      <c r="F27" s="330"/>
      <c r="G27" s="301"/>
      <c r="H27" s="341"/>
      <c r="I27" s="337"/>
      <c r="J27" s="268"/>
      <c r="K27" s="86"/>
      <c r="L27" s="125"/>
      <c r="M27" s="125"/>
      <c r="N27" s="271"/>
      <c r="O27" s="271"/>
      <c r="P27" s="271"/>
      <c r="Q27" s="271"/>
      <c r="R27" s="271"/>
      <c r="S27" s="271"/>
      <c r="T27" s="271"/>
      <c r="U27" s="271"/>
      <c r="V27" s="271"/>
      <c r="W27" s="271"/>
      <c r="X27" s="271"/>
      <c r="Y27" s="271"/>
      <c r="Z27" s="271"/>
      <c r="AA27" s="271"/>
      <c r="AB27" s="271"/>
      <c r="AC27" s="271"/>
      <c r="AD27" s="271"/>
      <c r="AE27" s="271"/>
      <c r="AF27" s="271"/>
      <c r="AG27" s="271"/>
      <c r="AH27" s="271"/>
      <c r="AI27" s="272"/>
      <c r="AJ27" s="63"/>
      <c r="BM27" s="63">
        <v>11</v>
      </c>
    </row>
    <row r="28" s="314" customFormat="1" ht="11.5" customHeight="1">
      <c r="D28" s="342"/>
      <c r="E28" s="343"/>
      <c r="F28" s="344"/>
      <c r="G28" s="220"/>
      <c r="H28" s="345"/>
      <c r="I28" s="346"/>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78"/>
      <c r="AG28" s="278"/>
      <c r="AH28" s="278"/>
      <c r="AI28" s="280"/>
      <c r="AJ28" s="63"/>
      <c r="AK28" s="311"/>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14">
        <v>11</v>
      </c>
    </row>
    <row r="29" ht="15" customHeight="1">
      <c r="D29" s="329" t="s">
        <v>91</v>
      </c>
      <c r="E29" s="330" t="s">
        <v>295</v>
      </c>
      <c r="F29" s="330" t="s">
        <v>299</v>
      </c>
      <c r="G29" s="296" t="s">
        <v>19</v>
      </c>
      <c r="H29" s="331"/>
      <c r="I29" s="332"/>
      <c r="J29" s="259"/>
      <c r="K29" s="259"/>
      <c r="L29" s="260"/>
      <c r="M29" s="260"/>
      <c r="N29" s="333"/>
      <c r="O29" s="260"/>
      <c r="P29" s="259"/>
      <c r="Q29" s="259"/>
      <c r="R29" s="260"/>
      <c r="S29" s="260"/>
      <c r="T29" s="334"/>
      <c r="U29" s="260"/>
      <c r="V29" s="259"/>
      <c r="W29" s="260"/>
      <c r="X29" s="260"/>
      <c r="Y29" s="260"/>
      <c r="Z29" s="333"/>
      <c r="AA29" s="260"/>
      <c r="AB29" s="259"/>
      <c r="AC29" s="335"/>
      <c r="AD29" s="260"/>
      <c r="AE29" s="260"/>
      <c r="AF29" s="260"/>
      <c r="AG29" s="260"/>
      <c r="AH29" s="333"/>
      <c r="AI29" s="263"/>
      <c r="AJ29" s="63"/>
      <c r="BM29" s="63">
        <v>14</v>
      </c>
    </row>
    <row r="30" ht="14.65" customHeight="1">
      <c r="D30" s="329"/>
      <c r="E30" s="330"/>
      <c r="F30" s="330"/>
      <c r="G30" s="301"/>
      <c r="H30" s="336"/>
      <c r="I30" s="337"/>
      <c r="J30" s="268"/>
      <c r="K30" s="86"/>
      <c r="L30" s="125"/>
      <c r="M30" s="125"/>
      <c r="N30" s="60"/>
      <c r="O30" s="125"/>
      <c r="P30" s="268"/>
      <c r="Q30" s="268"/>
      <c r="R30" s="125"/>
      <c r="S30" s="125"/>
      <c r="T30" s="338"/>
      <c r="U30" s="125"/>
      <c r="V30" s="268"/>
      <c r="W30" s="125"/>
      <c r="X30" s="125"/>
      <c r="Y30" s="125"/>
      <c r="Z30" s="60"/>
      <c r="AA30" s="125"/>
      <c r="AB30" s="268"/>
      <c r="AC30" s="86"/>
      <c r="AD30" s="125"/>
      <c r="AE30" s="125"/>
      <c r="AF30" s="271"/>
      <c r="AG30" s="271"/>
      <c r="AH30" s="271"/>
      <c r="AI30" s="272"/>
      <c r="AJ30" s="63"/>
      <c r="BM30" s="63">
        <v>14</v>
      </c>
    </row>
    <row r="31" ht="14.65" customHeight="1">
      <c r="D31" s="329"/>
      <c r="E31" s="330"/>
      <c r="F31" s="330"/>
      <c r="G31" s="301"/>
      <c r="H31" s="336"/>
      <c r="I31" s="337"/>
      <c r="J31" s="268"/>
      <c r="K31" s="86"/>
      <c r="L31" s="125"/>
      <c r="M31" s="125"/>
      <c r="N31" s="60"/>
      <c r="O31" s="125"/>
      <c r="P31" s="268"/>
      <c r="Q31" s="268"/>
      <c r="R31" s="125"/>
      <c r="S31" s="125"/>
      <c r="T31" s="338"/>
      <c r="U31" s="125"/>
      <c r="V31" s="268"/>
      <c r="W31" s="125"/>
      <c r="X31" s="125"/>
      <c r="Y31" s="125"/>
      <c r="Z31" s="125"/>
      <c r="AA31" s="271"/>
      <c r="AB31" s="271"/>
      <c r="AC31" s="271"/>
      <c r="AD31" s="271"/>
      <c r="AE31" s="271"/>
      <c r="AF31" s="271"/>
      <c r="AG31" s="271"/>
      <c r="AH31" s="271"/>
      <c r="AI31" s="272"/>
      <c r="AJ31" s="63"/>
      <c r="BM31" s="63">
        <v>14</v>
      </c>
    </row>
    <row r="32" ht="14.65" customHeight="1">
      <c r="D32" s="329"/>
      <c r="E32" s="330"/>
      <c r="F32" s="330"/>
      <c r="G32" s="301"/>
      <c r="H32" s="336"/>
      <c r="I32" s="337"/>
      <c r="J32" s="268"/>
      <c r="K32" s="86"/>
      <c r="L32" s="125"/>
      <c r="M32" s="125"/>
      <c r="N32" s="60"/>
      <c r="O32" s="125"/>
      <c r="P32" s="268"/>
      <c r="Q32" s="268"/>
      <c r="R32" s="125"/>
      <c r="S32" s="125"/>
      <c r="T32" s="339"/>
      <c r="U32" s="340"/>
      <c r="V32" s="271"/>
      <c r="W32" s="271"/>
      <c r="X32" s="271"/>
      <c r="Y32" s="271"/>
      <c r="Z32" s="271"/>
      <c r="AA32" s="271"/>
      <c r="AB32" s="271"/>
      <c r="AC32" s="271"/>
      <c r="AD32" s="271"/>
      <c r="AE32" s="271"/>
      <c r="AF32" s="271"/>
      <c r="AG32" s="271"/>
      <c r="AH32" s="271"/>
      <c r="AI32" s="272"/>
      <c r="AJ32" s="63"/>
      <c r="BM32" s="63">
        <v>14</v>
      </c>
    </row>
    <row r="33" ht="11.5" customHeight="1">
      <c r="D33" s="329"/>
      <c r="E33" s="330"/>
      <c r="F33" s="330"/>
      <c r="G33" s="301"/>
      <c r="H33" s="341"/>
      <c r="I33" s="337"/>
      <c r="J33" s="268"/>
      <c r="K33" s="86"/>
      <c r="L33" s="125"/>
      <c r="M33" s="125"/>
      <c r="N33" s="271"/>
      <c r="O33" s="271"/>
      <c r="P33" s="271"/>
      <c r="Q33" s="271"/>
      <c r="R33" s="271"/>
      <c r="S33" s="271"/>
      <c r="T33" s="271"/>
      <c r="U33" s="271"/>
      <c r="V33" s="271"/>
      <c r="W33" s="271"/>
      <c r="X33" s="271"/>
      <c r="Y33" s="271"/>
      <c r="Z33" s="271"/>
      <c r="AA33" s="271"/>
      <c r="AB33" s="271"/>
      <c r="AC33" s="271"/>
      <c r="AD33" s="271"/>
      <c r="AE33" s="271"/>
      <c r="AF33" s="271"/>
      <c r="AG33" s="271"/>
      <c r="AH33" s="271"/>
      <c r="AI33" s="272"/>
      <c r="AJ33" s="63"/>
      <c r="BM33" s="63">
        <v>11</v>
      </c>
    </row>
    <row r="34" s="314" customFormat="1" ht="11.5" customHeight="1">
      <c r="D34" s="342"/>
      <c r="E34" s="343"/>
      <c r="F34" s="344"/>
      <c r="G34" s="220"/>
      <c r="H34" s="345"/>
      <c r="I34" s="346"/>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80"/>
      <c r="AJ34" s="63"/>
      <c r="AK34" s="311"/>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14">
        <v>11</v>
      </c>
    </row>
    <row r="35" ht="15" customHeight="1">
      <c r="D35" s="329" t="s">
        <v>111</v>
      </c>
      <c r="E35" s="330" t="s">
        <v>295</v>
      </c>
      <c r="F35" s="330" t="s">
        <v>300</v>
      </c>
      <c r="G35" s="296" t="s">
        <v>19</v>
      </c>
      <c r="H35" s="331"/>
      <c r="I35" s="332"/>
      <c r="J35" s="259"/>
      <c r="K35" s="259"/>
      <c r="L35" s="260"/>
      <c r="M35" s="260"/>
      <c r="N35" s="333"/>
      <c r="O35" s="260"/>
      <c r="P35" s="259"/>
      <c r="Q35" s="259"/>
      <c r="R35" s="260"/>
      <c r="S35" s="260"/>
      <c r="T35" s="334"/>
      <c r="U35" s="260"/>
      <c r="V35" s="259"/>
      <c r="W35" s="260"/>
      <c r="X35" s="260"/>
      <c r="Y35" s="260"/>
      <c r="Z35" s="333"/>
      <c r="AA35" s="260"/>
      <c r="AB35" s="259"/>
      <c r="AC35" s="335"/>
      <c r="AD35" s="260"/>
      <c r="AE35" s="260"/>
      <c r="AF35" s="260"/>
      <c r="AG35" s="260"/>
      <c r="AH35" s="333"/>
      <c r="AI35" s="263"/>
      <c r="AJ35" s="63"/>
      <c r="BM35" s="63">
        <v>14</v>
      </c>
    </row>
    <row r="36" ht="14.65" customHeight="1">
      <c r="D36" s="329"/>
      <c r="E36" s="330"/>
      <c r="F36" s="330"/>
      <c r="G36" s="301"/>
      <c r="H36" s="336"/>
      <c r="I36" s="337"/>
      <c r="J36" s="268"/>
      <c r="K36" s="86"/>
      <c r="L36" s="125"/>
      <c r="M36" s="125"/>
      <c r="N36" s="60"/>
      <c r="O36" s="125"/>
      <c r="P36" s="268"/>
      <c r="Q36" s="268"/>
      <c r="R36" s="125"/>
      <c r="S36" s="125"/>
      <c r="T36" s="338"/>
      <c r="U36" s="125"/>
      <c r="V36" s="268"/>
      <c r="W36" s="125"/>
      <c r="X36" s="125"/>
      <c r="Y36" s="125"/>
      <c r="Z36" s="60"/>
      <c r="AA36" s="125"/>
      <c r="AB36" s="268"/>
      <c r="AC36" s="86"/>
      <c r="AD36" s="125"/>
      <c r="AE36" s="125"/>
      <c r="AF36" s="271"/>
      <c r="AG36" s="271"/>
      <c r="AH36" s="271"/>
      <c r="AI36" s="272"/>
      <c r="AJ36" s="63"/>
      <c r="BM36" s="63">
        <v>14</v>
      </c>
    </row>
    <row r="37" ht="14.65" customHeight="1">
      <c r="D37" s="329"/>
      <c r="E37" s="330"/>
      <c r="F37" s="330"/>
      <c r="G37" s="301"/>
      <c r="H37" s="336"/>
      <c r="I37" s="337"/>
      <c r="J37" s="268"/>
      <c r="K37" s="86"/>
      <c r="L37" s="125"/>
      <c r="M37" s="125"/>
      <c r="N37" s="60"/>
      <c r="O37" s="125"/>
      <c r="P37" s="268"/>
      <c r="Q37" s="268"/>
      <c r="R37" s="125"/>
      <c r="S37" s="125"/>
      <c r="T37" s="338"/>
      <c r="U37" s="125"/>
      <c r="V37" s="268"/>
      <c r="W37" s="125"/>
      <c r="X37" s="125"/>
      <c r="Y37" s="125"/>
      <c r="Z37" s="125"/>
      <c r="AA37" s="271"/>
      <c r="AB37" s="271"/>
      <c r="AC37" s="271"/>
      <c r="AD37" s="271"/>
      <c r="AE37" s="271"/>
      <c r="AF37" s="271"/>
      <c r="AG37" s="271"/>
      <c r="AH37" s="271"/>
      <c r="AI37" s="272"/>
      <c r="AJ37" s="63"/>
      <c r="BM37" s="63">
        <v>14</v>
      </c>
    </row>
    <row r="38" ht="14.65" customHeight="1">
      <c r="D38" s="329"/>
      <c r="E38" s="330"/>
      <c r="F38" s="330"/>
      <c r="G38" s="301"/>
      <c r="H38" s="336"/>
      <c r="I38" s="337"/>
      <c r="J38" s="268"/>
      <c r="K38" s="86"/>
      <c r="L38" s="125"/>
      <c r="M38" s="125"/>
      <c r="N38" s="60"/>
      <c r="O38" s="125"/>
      <c r="P38" s="268"/>
      <c r="Q38" s="268"/>
      <c r="R38" s="125"/>
      <c r="S38" s="125"/>
      <c r="T38" s="339"/>
      <c r="U38" s="340"/>
      <c r="V38" s="271"/>
      <c r="W38" s="271"/>
      <c r="X38" s="271"/>
      <c r="Y38" s="271"/>
      <c r="Z38" s="271"/>
      <c r="AA38" s="271"/>
      <c r="AB38" s="271"/>
      <c r="AC38" s="271"/>
      <c r="AD38" s="271"/>
      <c r="AE38" s="271"/>
      <c r="AF38" s="271"/>
      <c r="AG38" s="271"/>
      <c r="AH38" s="271"/>
      <c r="AI38" s="272"/>
      <c r="AJ38" s="63"/>
      <c r="BM38" s="63">
        <v>14</v>
      </c>
    </row>
    <row r="39" ht="11.5" customHeight="1">
      <c r="D39" s="329"/>
      <c r="E39" s="330"/>
      <c r="F39" s="330"/>
      <c r="G39" s="301"/>
      <c r="H39" s="341"/>
      <c r="I39" s="337"/>
      <c r="J39" s="268"/>
      <c r="K39" s="86"/>
      <c r="L39" s="125"/>
      <c r="M39" s="125"/>
      <c r="N39" s="271"/>
      <c r="O39" s="271"/>
      <c r="P39" s="271"/>
      <c r="Q39" s="271"/>
      <c r="R39" s="271"/>
      <c r="S39" s="271"/>
      <c r="T39" s="271"/>
      <c r="U39" s="271"/>
      <c r="V39" s="271"/>
      <c r="W39" s="271"/>
      <c r="X39" s="271"/>
      <c r="Y39" s="271"/>
      <c r="Z39" s="271"/>
      <c r="AA39" s="271"/>
      <c r="AB39" s="271"/>
      <c r="AC39" s="271"/>
      <c r="AD39" s="271"/>
      <c r="AE39" s="271"/>
      <c r="AF39" s="271"/>
      <c r="AG39" s="271"/>
      <c r="AH39" s="271"/>
      <c r="AI39" s="272"/>
      <c r="AJ39" s="63"/>
      <c r="BM39" s="63">
        <v>11</v>
      </c>
    </row>
    <row r="40" s="314" customFormat="1" ht="11.5" customHeight="1">
      <c r="D40" s="329"/>
      <c r="E40" s="330"/>
      <c r="F40" s="347"/>
      <c r="G40" s="220"/>
      <c r="H40" s="345"/>
      <c r="I40" s="346"/>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80"/>
      <c r="AJ40" s="63"/>
      <c r="AK40" s="311"/>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14">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82</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11">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0" deleteRows="0" formatCells="1" formatColumns="0" formatRows="0" insertColumns="1" insertHyperlinks="1" insertRows="0" pivotTables="1" selectLockedCells="0" selectUnlockedCells="0" sheet="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CB0046-00DC-49E2-A402-0005007A0059}"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 xr:uid="{001E0081-0061-4116-8808-002400190037}"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85" t="s">
        <v>1910</v>
      </c>
      <c r="C2" s="1185"/>
      <c r="D2" s="1185"/>
      <c r="E2" s="1186"/>
      <c r="F2" s="63">
        <v>22</v>
      </c>
    </row>
    <row r="3" ht="3" customHeight="1">
      <c r="F3" s="63">
        <v>3</v>
      </c>
    </row>
    <row r="4" ht="23.25" customHeight="1">
      <c r="B4" s="1187" t="s">
        <v>1911</v>
      </c>
      <c r="C4" s="1187" t="s">
        <v>1912</v>
      </c>
      <c r="D4" s="1187" t="s">
        <v>1913</v>
      </c>
      <c r="F4" s="63">
        <v>22</v>
      </c>
    </row>
    <row r="5" ht="11.25" hidden="1" customHeight="1">
      <c r="A5" s="63" t="s">
        <v>82</v>
      </c>
      <c r="B5" s="63">
        <v>34</v>
      </c>
      <c r="C5" s="63">
        <v>85</v>
      </c>
      <c r="D5" s="63">
        <v>17</v>
      </c>
      <c r="E5" s="63">
        <v>8</v>
      </c>
      <c r="F5" s="63">
        <v>11</v>
      </c>
    </row>
  </sheetData>
  <sheetProtection autoFilter="0" deleteColumns="0" deleteRows="0" formatCells="1" formatColumns="0" formatRows="0" insertColumns="1" insertHyperlinks="1" insertRows="0" pivotTables="1" selectLockedCells="0" selectUnlockedCells="0" sheet="0" sort="0"/>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88" customFormat="1" ht="17.25" customHeight="1">
      <c r="A2" s="1188" t="s">
        <v>1914</v>
      </c>
    </row>
    <row r="4" s="1177" customFormat="1" ht="15" customHeight="1">
      <c r="C4" s="396"/>
      <c r="D4" s="885"/>
      <c r="E4" s="462"/>
    </row>
    <row r="6" s="1188" customFormat="1" ht="17.25" customHeight="1">
      <c r="A6" s="1188" t="s">
        <v>1915</v>
      </c>
    </row>
    <row r="8" s="1177" customFormat="1" ht="17.25" customHeight="1">
      <c r="C8" s="1189"/>
      <c r="D8" s="885"/>
      <c r="E8" s="295"/>
    </row>
    <row r="11" s="1188" customFormat="1" ht="17.25" customHeight="1">
      <c r="A11" s="1188" t="s">
        <v>1916</v>
      </c>
    </row>
    <row r="13" s="139" customFormat="1" ht="15" customHeight="1">
      <c r="A13" s="113">
        <v>1</v>
      </c>
      <c r="B13" s="53"/>
      <c r="C13" s="169" t="s">
        <v>496</v>
      </c>
      <c r="D13" s="128"/>
      <c r="E13" s="157">
        <f>A13</f>
        <v>1</v>
      </c>
      <c r="F13" s="249"/>
      <c r="G13" s="159" t="str">
        <f>"Территория "&amp;E13</f>
        <v xml:space="preserve">Территория 1</v>
      </c>
      <c r="H13" s="160"/>
      <c r="I13" s="160"/>
      <c r="J13" s="129"/>
      <c r="K13" s="129"/>
      <c r="L13" s="129"/>
      <c r="M13" s="129"/>
      <c r="N13" s="129"/>
      <c r="O13" s="129"/>
      <c r="P13" s="130"/>
      <c r="Q13" s="130"/>
      <c r="R13" s="130"/>
      <c r="S13" s="130"/>
    </row>
    <row r="14" s="63" customFormat="1" ht="15" customHeight="1">
      <c r="A14" s="113"/>
      <c r="B14" s="53">
        <v>1</v>
      </c>
      <c r="C14" s="53"/>
      <c r="D14" s="161"/>
      <c r="E14" s="162" t="str">
        <f>A13&amp;"."&amp;B14</f>
        <v>1.1</v>
      </c>
      <c r="F14" s="574">
        <f>$F$20</f>
        <v>0</v>
      </c>
      <c r="G14" s="164"/>
      <c r="H14" s="164"/>
      <c r="I14" s="165"/>
      <c r="J14" s="129"/>
      <c r="K14" s="57"/>
      <c r="L14" s="57"/>
      <c r="M14" s="129" t="str">
        <f t="array" ref="M14">IF(ISERROR(MATCH(MID(N14,1,250),MID(note_ter,1,250),0)),"n","y")</f>
        <v>n</v>
      </c>
      <c r="N14" s="57"/>
      <c r="O14" s="129" t="str">
        <f>H14&amp;"("&amp;I14&amp;")"</f>
        <v>()</v>
      </c>
      <c r="P14" s="53"/>
      <c r="Q14" s="53"/>
      <c r="R14" s="166"/>
      <c r="S14" s="53"/>
      <c r="T14" s="53"/>
      <c r="U14" s="53"/>
      <c r="V14" s="64"/>
      <c r="W14" s="64"/>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64"/>
      <c r="BT14" s="64"/>
      <c r="BU14" s="64"/>
      <c r="BV14" s="64"/>
      <c r="BW14" s="64"/>
      <c r="BX14" s="64"/>
      <c r="BY14" s="64"/>
      <c r="BZ14" s="64"/>
      <c r="CA14" s="64"/>
      <c r="CB14" s="64"/>
    </row>
    <row r="15" s="63" customFormat="1" ht="15" customHeight="1">
      <c r="A15" s="113"/>
      <c r="B15" s="53"/>
      <c r="C15" s="168"/>
      <c r="D15" s="169"/>
      <c r="E15" s="170"/>
      <c r="F15" s="171"/>
      <c r="G15" s="172" t="s">
        <v>102</v>
      </c>
      <c r="H15" s="173"/>
      <c r="I15" s="174"/>
      <c r="J15" s="57"/>
      <c r="K15" s="57"/>
      <c r="L15" s="57"/>
      <c r="M15" s="57"/>
      <c r="N15" s="129"/>
      <c r="O15" s="57"/>
      <c r="P15" s="53"/>
      <c r="Q15" s="53"/>
      <c r="R15" s="166"/>
      <c r="S15" s="53"/>
      <c r="T15" s="53"/>
      <c r="U15" s="53"/>
      <c r="V15" s="64"/>
      <c r="W15" s="64"/>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64"/>
      <c r="BT15" s="64"/>
      <c r="BU15" s="64"/>
      <c r="BV15" s="64"/>
      <c r="BW15" s="64"/>
      <c r="BX15" s="64"/>
      <c r="BY15" s="64"/>
      <c r="BZ15" s="64"/>
      <c r="CA15" s="64"/>
      <c r="CB15" s="64"/>
    </row>
    <row r="17" s="1188" customFormat="1" ht="17.25" customHeight="1">
      <c r="A17" s="1188" t="s">
        <v>1917</v>
      </c>
    </row>
    <row r="19" s="63" customFormat="1" ht="15" customHeight="1">
      <c r="A19" s="113"/>
      <c r="B19" s="53">
        <v>1</v>
      </c>
      <c r="C19" s="53"/>
      <c r="D19" s="161" t="s">
        <v>496</v>
      </c>
      <c r="E19" s="157"/>
      <c r="F19" s="512">
        <f>$F$20</f>
        <v>0</v>
      </c>
      <c r="G19" s="1190"/>
      <c r="H19" s="1190"/>
      <c r="I19" s="1191"/>
      <c r="J19" s="129"/>
      <c r="K19" s="57"/>
      <c r="L19" s="57"/>
      <c r="M19" s="129" t="str">
        <f t="array" ref="M19">IF(ISERROR(MATCH(MID(N19,1,250),MID(note_ter,1,250),0)),"n","y")</f>
        <v>n</v>
      </c>
      <c r="N19" s="57"/>
      <c r="O19" s="129" t="str">
        <f>H19&amp;"("&amp;I19&amp;")"</f>
        <v>()</v>
      </c>
      <c r="P19" s="53"/>
      <c r="Q19" s="53"/>
      <c r="R19" s="166"/>
      <c r="S19" s="53"/>
      <c r="T19" s="53"/>
      <c r="U19" s="53"/>
      <c r="V19" s="64"/>
      <c r="W19" s="64"/>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64"/>
      <c r="BT19" s="64"/>
      <c r="BU19" s="64"/>
      <c r="BV19" s="64"/>
      <c r="BW19" s="64"/>
      <c r="BX19" s="64"/>
      <c r="BY19" s="64"/>
      <c r="BZ19" s="64"/>
      <c r="CA19" s="64"/>
      <c r="CB19" s="64"/>
    </row>
    <row r="21" s="63" customFormat="1" ht="15" customHeight="1">
      <c r="A21" s="1188" t="s">
        <v>1918</v>
      </c>
      <c r="B21" s="1188"/>
      <c r="C21" s="1188"/>
      <c r="D21" s="1188"/>
      <c r="E21" s="1188"/>
      <c r="F21" s="1188"/>
      <c r="G21" s="1188"/>
      <c r="H21" s="1188"/>
      <c r="I21" s="1188"/>
      <c r="J21" s="1188"/>
      <c r="K21" s="1188"/>
      <c r="L21" s="1188"/>
      <c r="M21" s="1188"/>
      <c r="N21" s="1188"/>
      <c r="O21" s="1188"/>
      <c r="P21" s="1188"/>
      <c r="Q21" s="1188"/>
      <c r="R21" s="1188"/>
      <c r="S21" s="1188"/>
      <c r="T21" s="1188"/>
      <c r="U21" s="1192"/>
      <c r="V21" s="1188"/>
      <c r="W21" s="1188"/>
    </row>
    <row r="22" s="63" customFormat="1" ht="15" customHeight="1">
      <c r="U22" s="1193"/>
    </row>
    <row r="23" s="184" customFormat="1" ht="15" customHeight="1">
      <c r="A23" s="63"/>
      <c r="B23" s="63"/>
      <c r="C23" s="932" t="s">
        <v>496</v>
      </c>
      <c r="D23" s="218" t="s">
        <v>109</v>
      </c>
      <c r="E23" s="219"/>
      <c r="F23" s="224" t="s">
        <v>19</v>
      </c>
      <c r="G23" s="1194"/>
      <c r="H23" s="157">
        <v>1</v>
      </c>
      <c r="I23" s="1195" t="str">
        <f>IF(U23="","",INDEX(TERRITORY_MR_LIST,MATCH(U23,TERRITORY_LIST_ID,0)))</f>
        <v/>
      </c>
      <c r="J23" s="224" t="s">
        <v>19</v>
      </c>
      <c r="K23" s="1196"/>
      <c r="L23" s="218" t="s">
        <v>109</v>
      </c>
      <c r="M23" s="226"/>
      <c r="N23" s="151"/>
      <c r="O23" s="151"/>
      <c r="P23" s="151"/>
      <c r="Q23" s="151"/>
      <c r="R23" s="151"/>
      <c r="S23" s="151"/>
      <c r="T23" s="151"/>
      <c r="U23" s="1197"/>
      <c r="V23" s="151"/>
      <c r="W23" s="151"/>
      <c r="X23" s="151"/>
      <c r="Y23" s="151" t="s">
        <v>118</v>
      </c>
      <c r="Z23" s="151">
        <v>1705000</v>
      </c>
      <c r="AA23" s="151"/>
      <c r="AB23" s="151"/>
      <c r="AC23" s="151"/>
      <c r="AD23" s="151"/>
      <c r="AE23" s="151"/>
      <c r="AF23" s="151"/>
      <c r="AG23" s="151"/>
      <c r="AH23" s="151"/>
      <c r="AI23" s="151"/>
      <c r="AJ23" s="151"/>
      <c r="AK23" s="151"/>
      <c r="AL23" s="151"/>
    </row>
    <row r="24" s="184" customFormat="1" ht="15" customHeight="1">
      <c r="A24" s="63"/>
      <c r="B24" s="63"/>
      <c r="C24" s="149"/>
      <c r="D24" s="218"/>
      <c r="E24" s="227"/>
      <c r="F24" s="224"/>
      <c r="G24" s="1198"/>
      <c r="H24" s="157"/>
      <c r="I24" s="1199"/>
      <c r="J24" s="224"/>
      <c r="K24" s="170"/>
      <c r="L24" s="171"/>
      <c r="M24" s="229" t="s">
        <v>119</v>
      </c>
      <c r="N24" s="151"/>
      <c r="O24" s="151"/>
      <c r="P24" s="151"/>
      <c r="Q24" s="151"/>
      <c r="R24" s="151"/>
      <c r="S24" s="151"/>
      <c r="T24" s="151"/>
      <c r="U24" s="1197"/>
      <c r="V24" s="151"/>
      <c r="W24" s="151"/>
      <c r="X24" s="151"/>
      <c r="Y24" s="151"/>
      <c r="Z24" s="151"/>
      <c r="AA24" s="151"/>
      <c r="AB24" s="151"/>
      <c r="AC24" s="151"/>
      <c r="AD24" s="151"/>
      <c r="AE24" s="151"/>
      <c r="AF24" s="151"/>
      <c r="AG24" s="151"/>
      <c r="AH24" s="151"/>
      <c r="AI24" s="151"/>
      <c r="AJ24" s="151"/>
      <c r="AK24" s="151"/>
      <c r="AL24" s="151"/>
    </row>
    <row r="25" s="184" customFormat="1" ht="15" customHeight="1">
      <c r="A25" s="63"/>
      <c r="B25" s="63"/>
      <c r="C25" s="149"/>
      <c r="D25" s="218"/>
      <c r="E25" s="230"/>
      <c r="F25" s="224"/>
      <c r="G25" s="170"/>
      <c r="H25" s="171"/>
      <c r="I25" s="172" t="s">
        <v>120</v>
      </c>
      <c r="J25" s="171"/>
      <c r="K25" s="171"/>
      <c r="L25" s="171"/>
      <c r="M25" s="233"/>
      <c r="N25" s="151"/>
      <c r="O25" s="151"/>
      <c r="P25" s="151"/>
      <c r="Q25" s="151"/>
      <c r="R25" s="151"/>
      <c r="S25" s="151"/>
      <c r="T25" s="151"/>
      <c r="U25" s="1197"/>
      <c r="V25" s="151"/>
      <c r="W25" s="151"/>
      <c r="X25" s="151"/>
      <c r="Y25" s="151"/>
      <c r="Z25" s="151"/>
      <c r="AA25" s="151"/>
      <c r="AB25" s="151"/>
      <c r="AC25" s="151"/>
      <c r="AD25" s="151"/>
      <c r="AE25" s="151"/>
      <c r="AF25" s="151"/>
      <c r="AG25" s="151"/>
      <c r="AH25" s="151"/>
      <c r="AI25" s="151"/>
      <c r="AJ25" s="151"/>
      <c r="AK25" s="151"/>
      <c r="AL25" s="151"/>
    </row>
    <row r="26" s="63" customFormat="1" ht="15" customHeight="1">
      <c r="U26" s="1193"/>
    </row>
    <row r="27" s="63" customFormat="1" ht="15" customHeight="1">
      <c r="A27" s="1188" t="s">
        <v>1919</v>
      </c>
      <c r="B27" s="1188"/>
      <c r="C27" s="1188"/>
      <c r="D27" s="1188"/>
      <c r="E27" s="1188"/>
      <c r="F27" s="1188"/>
      <c r="G27" s="1188"/>
      <c r="H27" s="1188"/>
      <c r="I27" s="1188"/>
      <c r="J27" s="1188"/>
      <c r="K27" s="1188"/>
      <c r="L27" s="1188"/>
      <c r="M27" s="1188"/>
      <c r="N27" s="1188"/>
      <c r="O27" s="1188"/>
      <c r="P27" s="1188"/>
      <c r="Q27" s="1188"/>
      <c r="R27" s="1188"/>
      <c r="S27" s="1188"/>
      <c r="T27" s="1188"/>
      <c r="U27" s="1192"/>
      <c r="V27" s="1188"/>
      <c r="W27" s="1188"/>
    </row>
    <row r="28" s="63" customFormat="1" ht="15" customHeight="1">
      <c r="U28" s="1193"/>
    </row>
    <row r="29" s="184" customFormat="1" ht="15" customHeight="1">
      <c r="A29" s="63"/>
      <c r="B29" s="63"/>
      <c r="C29" s="149"/>
      <c r="D29" s="274"/>
      <c r="E29" s="274"/>
      <c r="F29" s="274"/>
      <c r="G29" s="1200" t="s">
        <v>496</v>
      </c>
      <c r="H29" s="72">
        <v>1</v>
      </c>
      <c r="I29" s="115" t="str">
        <f>IF(U29="","",INDEX(TERRITORY_MR_LIST,MATCH(U29,TERRITORY_LIST_ID,0)))</f>
        <v/>
      </c>
      <c r="J29" s="224" t="s">
        <v>19</v>
      </c>
      <c r="K29" s="1196"/>
      <c r="L29" s="218" t="s">
        <v>109</v>
      </c>
      <c r="M29" s="226"/>
      <c r="N29" s="151"/>
      <c r="O29" s="151"/>
      <c r="P29" s="151"/>
      <c r="Q29" s="151"/>
      <c r="R29" s="151"/>
      <c r="S29" s="151"/>
      <c r="T29" s="151"/>
      <c r="U29" s="1197"/>
      <c r="V29" s="151"/>
      <c r="W29" s="151"/>
      <c r="X29" s="151"/>
      <c r="Y29" s="151" t="s">
        <v>118</v>
      </c>
      <c r="Z29" s="151">
        <v>1705000</v>
      </c>
      <c r="AA29" s="151"/>
      <c r="AB29" s="151"/>
      <c r="AC29" s="151"/>
      <c r="AD29" s="151"/>
      <c r="AE29" s="151"/>
      <c r="AF29" s="151"/>
      <c r="AG29" s="151"/>
      <c r="AH29" s="151"/>
      <c r="AI29" s="151"/>
      <c r="AJ29" s="151"/>
      <c r="AK29" s="151"/>
      <c r="AL29" s="151"/>
    </row>
    <row r="30" s="184" customFormat="1" ht="15" customHeight="1">
      <c r="A30" s="63"/>
      <c r="B30" s="63"/>
      <c r="C30" s="149"/>
      <c r="D30" s="274"/>
      <c r="E30" s="274"/>
      <c r="F30" s="274"/>
      <c r="G30" s="1200"/>
      <c r="H30" s="72"/>
      <c r="I30" s="115"/>
      <c r="J30" s="224"/>
      <c r="K30" s="170"/>
      <c r="L30" s="171"/>
      <c r="M30" s="229" t="s">
        <v>119</v>
      </c>
      <c r="N30" s="151"/>
      <c r="O30" s="151"/>
      <c r="P30" s="151"/>
      <c r="Q30" s="151"/>
      <c r="R30" s="151"/>
      <c r="S30" s="151"/>
      <c r="T30" s="151"/>
      <c r="U30" s="1197"/>
      <c r="V30" s="151"/>
      <c r="W30" s="151"/>
      <c r="X30" s="151"/>
      <c r="Y30" s="151"/>
      <c r="Z30" s="151"/>
      <c r="AA30" s="151"/>
      <c r="AB30" s="151"/>
      <c r="AC30" s="151"/>
      <c r="AD30" s="151"/>
      <c r="AE30" s="151"/>
      <c r="AF30" s="151"/>
      <c r="AG30" s="151"/>
      <c r="AH30" s="151"/>
      <c r="AI30" s="151"/>
      <c r="AJ30" s="151"/>
      <c r="AK30" s="151"/>
      <c r="AL30" s="151"/>
    </row>
    <row r="31" s="63" customFormat="1" ht="15" customHeight="1">
      <c r="U31" s="1193"/>
    </row>
    <row r="32" s="63" customFormat="1" ht="15" customHeight="1">
      <c r="A32" s="1188" t="s">
        <v>1920</v>
      </c>
      <c r="B32" s="1188"/>
      <c r="C32" s="1188"/>
      <c r="D32" s="1188"/>
      <c r="E32" s="1188"/>
      <c r="F32" s="1188"/>
      <c r="G32" s="1188"/>
      <c r="H32" s="1188"/>
      <c r="I32" s="1188"/>
      <c r="J32" s="1188"/>
      <c r="K32" s="1188"/>
      <c r="L32" s="1188"/>
      <c r="M32" s="1188"/>
      <c r="N32" s="1188"/>
      <c r="O32" s="1188"/>
      <c r="P32" s="1188"/>
      <c r="Q32" s="1188"/>
      <c r="R32" s="1188"/>
      <c r="S32" s="1188"/>
      <c r="T32" s="1188"/>
      <c r="U32" s="1192"/>
      <c r="V32" s="1188"/>
      <c r="W32" s="1188"/>
    </row>
    <row r="33" s="63" customFormat="1" ht="15" customHeight="1">
      <c r="U33" s="1193"/>
    </row>
    <row r="34" s="184" customFormat="1" ht="15" customHeight="1">
      <c r="A34" s="63"/>
      <c r="B34" s="63"/>
      <c r="C34" s="149"/>
      <c r="D34" s="274"/>
      <c r="E34" s="274"/>
      <c r="F34" s="274"/>
      <c r="G34" s="274"/>
      <c r="H34" s="274"/>
      <c r="I34" s="274"/>
      <c r="J34" s="274"/>
      <c r="K34" s="1200" t="s">
        <v>496</v>
      </c>
      <c r="L34" s="993" t="s">
        <v>109</v>
      </c>
      <c r="M34" s="1201"/>
      <c r="N34" s="205"/>
      <c r="O34" s="151"/>
      <c r="P34" s="151"/>
      <c r="Q34" s="151"/>
      <c r="R34" s="151"/>
      <c r="S34" s="151"/>
      <c r="T34" s="151"/>
      <c r="U34" s="1197"/>
      <c r="V34" s="151"/>
      <c r="W34" s="151"/>
      <c r="X34" s="151"/>
      <c r="Y34" s="151" t="s">
        <v>118</v>
      </c>
      <c r="Z34" s="151">
        <v>1705000</v>
      </c>
      <c r="AA34" s="151"/>
      <c r="AB34" s="151"/>
      <c r="AC34" s="151"/>
      <c r="AD34" s="151"/>
      <c r="AE34" s="151"/>
      <c r="AF34" s="151"/>
      <c r="AG34" s="151"/>
      <c r="AH34" s="151"/>
      <c r="AI34" s="151"/>
      <c r="AJ34" s="151"/>
      <c r="AK34" s="151"/>
      <c r="AL34" s="151"/>
    </row>
    <row r="35" s="63" customFormat="1" ht="15" customHeight="1">
      <c r="U35" s="1193"/>
    </row>
    <row r="36" s="63" customFormat="1" ht="15" customHeight="1">
      <c r="U36" s="1193"/>
    </row>
    <row r="37" s="1188" customFormat="1" ht="11.25" customHeight="1">
      <c r="A37" s="1188" t="s">
        <v>1921</v>
      </c>
    </row>
    <row r="38" ht="11.25" customHeight="1"/>
    <row r="39" s="350" customFormat="1" ht="22.5" customHeight="1">
      <c r="A39" s="374"/>
      <c r="B39" s="91"/>
      <c r="C39" s="1202"/>
      <c r="D39" s="377"/>
      <c r="E39" s="397"/>
      <c r="F39" s="404"/>
      <c r="G39" s="274"/>
      <c r="H39" s="367"/>
    </row>
    <row r="40" ht="11.25" customHeight="1"/>
    <row r="41" s="1188" customFormat="1" ht="11.25" customHeight="1">
      <c r="A41" s="1188" t="s">
        <v>1922</v>
      </c>
    </row>
    <row r="42" ht="11.25" customHeight="1"/>
    <row r="43" s="350" customFormat="1" ht="22.5" customHeight="1">
      <c r="A43" s="91"/>
      <c r="B43" s="91"/>
      <c r="C43" s="91"/>
      <c r="D43" s="377"/>
      <c r="E43" s="397"/>
      <c r="F43" s="398"/>
      <c r="G43" s="274"/>
      <c r="H43" s="367"/>
    </row>
    <row r="44" ht="11.25" customHeight="1"/>
    <row r="45" s="1188" customFormat="1" ht="11.25" customHeight="1">
      <c r="A45" s="1188" t="s">
        <v>1923</v>
      </c>
    </row>
    <row r="46" ht="11.25" customHeight="1"/>
    <row r="47" s="350" customFormat="1" ht="24" customHeight="1">
      <c r="A47" s="374" t="s">
        <v>315</v>
      </c>
      <c r="B47" s="357"/>
      <c r="C47" s="375"/>
      <c r="D47" s="368" t="str">
        <f>A47</f>
        <v>5.1</v>
      </c>
      <c r="E47" s="371" t="s">
        <v>316</v>
      </c>
      <c r="F47" s="246" t="s">
        <v>308</v>
      </c>
      <c r="G47" s="369" t="s">
        <v>317</v>
      </c>
      <c r="H47" s="367"/>
      <c r="I47" s="376"/>
    </row>
    <row r="48" s="350" customFormat="1" ht="22.5" customHeight="1">
      <c r="A48" s="374"/>
      <c r="B48" s="357"/>
      <c r="C48" s="375"/>
      <c r="D48" s="377" t="str">
        <f>D47&amp;".1"</f>
        <v>5.1.1</v>
      </c>
      <c r="E48" s="378" t="s">
        <v>318</v>
      </c>
      <c r="F48" s="372" t="s">
        <v>28</v>
      </c>
      <c r="G48" s="370"/>
      <c r="H48" s="367"/>
      <c r="I48" s="376"/>
    </row>
    <row r="49" s="350" customFormat="1" ht="22.5" customHeight="1">
      <c r="A49" s="374"/>
      <c r="B49" s="357"/>
      <c r="C49" s="375"/>
      <c r="D49" s="377" t="str">
        <f>D47&amp;".2"</f>
        <v>5.1.2</v>
      </c>
      <c r="E49" s="378" t="s">
        <v>319</v>
      </c>
      <c r="F49" s="89" t="s">
        <v>28</v>
      </c>
      <c r="G49" s="369" t="s">
        <v>320</v>
      </c>
      <c r="H49" s="367"/>
      <c r="I49" s="376"/>
    </row>
    <row r="50" s="350" customFormat="1" ht="22.5" customHeight="1">
      <c r="A50" s="374"/>
      <c r="B50" s="357"/>
      <c r="C50" s="375"/>
      <c r="D50" s="377" t="str">
        <f>D47&amp;".3"</f>
        <v>5.1.3</v>
      </c>
      <c r="E50" s="378" t="s">
        <v>321</v>
      </c>
      <c r="F50" s="372" t="s">
        <v>28</v>
      </c>
      <c r="G50" s="370"/>
      <c r="H50" s="367"/>
      <c r="I50" s="376"/>
    </row>
    <row r="51" s="350" customFormat="1" ht="22.5" customHeight="1">
      <c r="A51" s="374"/>
      <c r="B51" s="357"/>
      <c r="C51" s="375"/>
      <c r="D51" s="377" t="str">
        <f>D47&amp;".4"</f>
        <v>5.1.4</v>
      </c>
      <c r="E51" s="378" t="s">
        <v>322</v>
      </c>
      <c r="F51" s="372" t="s">
        <v>28</v>
      </c>
      <c r="G51" s="369" t="s">
        <v>323</v>
      </c>
      <c r="H51" s="367"/>
      <c r="I51" s="376"/>
    </row>
    <row r="54" s="1188" customFormat="1" ht="17.25" customHeight="1">
      <c r="A54" s="1188" t="s">
        <v>1924</v>
      </c>
    </row>
    <row r="56" s="65" customFormat="1" ht="18.75" customHeight="1">
      <c r="A56" s="63"/>
      <c r="B56" s="143"/>
      <c r="C56" s="143"/>
      <c r="D56" s="480"/>
      <c r="E56" s="882"/>
      <c r="F56" s="1203">
        <v>13</v>
      </c>
      <c r="G56" s="1204"/>
      <c r="H56" s="164"/>
      <c r="I56" s="165"/>
      <c r="J56" s="483" t="s">
        <v>66</v>
      </c>
      <c r="K56" s="1205" t="s">
        <v>28</v>
      </c>
      <c r="L56" s="63"/>
      <c r="M56" s="57"/>
      <c r="N56" s="57"/>
      <c r="O56" s="57"/>
      <c r="P56" s="478" t="s">
        <v>394</v>
      </c>
      <c r="Q56" s="478" t="s">
        <v>395</v>
      </c>
      <c r="R56" s="479" t="s">
        <v>396</v>
      </c>
      <c r="S56" s="57" t="s">
        <v>397</v>
      </c>
      <c r="T56" s="57"/>
      <c r="U56" s="57"/>
      <c r="V56" s="57"/>
    </row>
    <row r="58" s="1188" customFormat="1" ht="11.25" customHeight="1">
      <c r="A58" s="1188" t="s">
        <v>1925</v>
      </c>
    </row>
    <row r="60" s="50" customFormat="1" ht="14.25" customHeight="1">
      <c r="C60" s="396"/>
      <c r="D60" s="444"/>
      <c r="E60" s="391" t="s">
        <v>28</v>
      </c>
      <c r="F60" s="445"/>
      <c r="G60" s="446"/>
      <c r="H60" s="447"/>
      <c r="I60" s="447"/>
      <c r="J60" s="448"/>
      <c r="K60" s="449"/>
      <c r="L60" s="450"/>
      <c r="M60" s="449"/>
      <c r="N60" s="448"/>
      <c r="O60" s="449"/>
      <c r="P60" s="448"/>
      <c r="Q60" s="449"/>
      <c r="R60" s="448"/>
      <c r="S60" s="451"/>
      <c r="T60" s="447"/>
      <c r="U60" s="448"/>
      <c r="V60" s="448"/>
      <c r="W60" s="435"/>
      <c r="X60" s="447"/>
      <c r="Y60" s="448"/>
      <c r="Z60" s="448"/>
      <c r="AA60" s="435"/>
      <c r="AB60" s="447"/>
      <c r="AC60" s="448"/>
      <c r="AD60" s="435"/>
      <c r="AE60" s="63"/>
      <c r="AF60" s="63"/>
      <c r="AG60" s="63"/>
      <c r="AH60" s="63"/>
      <c r="AJ60" s="57"/>
      <c r="AK60" s="57"/>
      <c r="AL60" s="57"/>
      <c r="AM60" s="57"/>
      <c r="AN60" s="57"/>
      <c r="AO60" s="57"/>
      <c r="AP60" s="129" t="s">
        <v>383</v>
      </c>
      <c r="AQ60" s="129" t="s">
        <v>383</v>
      </c>
      <c r="AR60" s="57"/>
      <c r="AS60" s="57"/>
    </row>
    <row r="62" s="1188" customFormat="1" ht="11.25" customHeight="1">
      <c r="A62" s="1188" t="s">
        <v>1926</v>
      </c>
    </row>
    <row r="64" s="143" customFormat="1" ht="15" customHeight="1">
      <c r="A64" s="64" t="s">
        <v>90</v>
      </c>
      <c r="B64" s="143" t="s">
        <v>28</v>
      </c>
      <c r="C64" s="339"/>
      <c r="D64" s="218"/>
      <c r="E64" s="462"/>
      <c r="F64" s="462"/>
      <c r="G64" s="524"/>
      <c r="H64" s="1205"/>
      <c r="I64" s="527"/>
      <c r="K64" s="1175"/>
      <c r="L64" s="167"/>
    </row>
    <row r="66" s="1188" customFormat="1" ht="11.25" customHeight="1">
      <c r="A66" s="1188" t="s">
        <v>1927</v>
      </c>
    </row>
    <row r="68" s="50" customFormat="1" ht="14.25" customHeight="1">
      <c r="A68" s="143"/>
      <c r="B68" s="53"/>
      <c r="C68" s="553"/>
      <c r="D68" s="359"/>
      <c r="E68" s="1206"/>
      <c r="F68" s="1205"/>
      <c r="G68" s="63"/>
      <c r="I68" s="129"/>
      <c r="J68" s="129"/>
    </row>
    <row r="70" s="1188" customFormat="1" ht="11.25" customHeight="1">
      <c r="A70" s="1188" t="s">
        <v>1928</v>
      </c>
    </row>
    <row r="72" s="50" customFormat="1" ht="27" customHeight="1">
      <c r="A72" s="124"/>
      <c r="B72" s="124"/>
      <c r="C72" s="124"/>
      <c r="D72" s="53"/>
      <c r="E72" s="1207"/>
      <c r="F72" s="1208"/>
      <c r="G72" s="1209"/>
      <c r="H72" s="1210" t="s">
        <v>66</v>
      </c>
      <c r="I72" s="1211"/>
      <c r="J72" s="1212"/>
      <c r="K72" s="1213"/>
      <c r="L72" s="1214"/>
      <c r="M72" s="1214"/>
      <c r="N72" s="1215"/>
      <c r="O72" s="1215"/>
      <c r="P72" s="1216" t="e">
        <f>DATEDIF(DATEVALUE(N72),DATEVALUE(O72),"y")&amp;"г. "&amp;DATEDIF(DATEVALUE(N72),DATEVALUE(O72),"ym")&amp;"мес. "&amp;DATEVALUE(O72)-DATE(YEAR(DATEVALUE(O72)),MONTH(DATEVALUE(O72)),1)&amp;"дн. "</f>
        <v>#VALUE!</v>
      </c>
      <c r="Q72" s="1217"/>
      <c r="R72" s="1217"/>
      <c r="S72" s="1217"/>
      <c r="T72" s="1212"/>
      <c r="U72" s="1217"/>
      <c r="V72" s="1217"/>
      <c r="W72" s="1217"/>
      <c r="X72" s="1212"/>
      <c r="Y72" s="1218" t="s">
        <v>66</v>
      </c>
      <c r="Z72" s="323"/>
      <c r="AA72" s="157">
        <v>1</v>
      </c>
      <c r="AB72" s="1219"/>
      <c r="AD72" s="57" t="s">
        <v>1929</v>
      </c>
    </row>
    <row r="73" s="50" customFormat="1" ht="10.5" customHeight="1">
      <c r="A73" s="124"/>
      <c r="B73" s="124"/>
      <c r="C73" s="124"/>
      <c r="D73" s="53"/>
      <c r="E73" s="1220"/>
      <c r="F73" s="1208"/>
      <c r="G73" s="1209"/>
      <c r="H73" s="1221"/>
      <c r="I73" s="1222"/>
      <c r="J73" s="1223"/>
      <c r="K73" s="1213"/>
      <c r="L73" s="1214"/>
      <c r="M73" s="1214"/>
      <c r="N73" s="1215"/>
      <c r="O73" s="1215"/>
      <c r="P73" s="1216"/>
      <c r="Q73" s="1217"/>
      <c r="R73" s="1217"/>
      <c r="S73" s="1217"/>
      <c r="T73" s="1223"/>
      <c r="U73" s="1217"/>
      <c r="V73" s="1217"/>
      <c r="W73" s="1217"/>
      <c r="X73" s="1223"/>
      <c r="Y73" s="1224"/>
      <c r="Z73" s="888"/>
      <c r="AA73" s="798"/>
      <c r="AB73" s="229" t="s">
        <v>1930</v>
      </c>
    </row>
    <row r="75" s="1188" customFormat="1" ht="11.25" customHeight="1">
      <c r="A75" s="1188" t="s">
        <v>1931</v>
      </c>
    </row>
    <row r="77" s="50" customFormat="1" ht="27" customHeight="1">
      <c r="A77" s="124"/>
      <c r="B77" s="124"/>
      <c r="C77" s="124"/>
      <c r="D77" s="53"/>
      <c r="E77" s="1207"/>
      <c r="F77" s="1225"/>
      <c r="G77" s="1226"/>
      <c r="H77" s="1227"/>
      <c r="I77" s="1228"/>
      <c r="J77" s="1229"/>
      <c r="K77" s="1230"/>
      <c r="L77" s="1231"/>
      <c r="M77" s="1231"/>
      <c r="N77" s="1232"/>
      <c r="O77" s="1232"/>
      <c r="P77" s="1233"/>
      <c r="Q77" s="1234"/>
      <c r="R77" s="1234"/>
      <c r="S77" s="1234"/>
      <c r="T77" s="1229"/>
      <c r="U77" s="1234"/>
      <c r="V77" s="1234"/>
      <c r="W77" s="1234"/>
      <c r="X77" s="1229"/>
      <c r="Y77" s="1227"/>
      <c r="Z77" s="323"/>
      <c r="AA77" s="157">
        <v>1</v>
      </c>
      <c r="AB77" s="1219"/>
      <c r="AD77" s="57" t="s">
        <v>1929</v>
      </c>
    </row>
    <row r="79" s="1188" customFormat="1" ht="11.25" customHeight="1">
      <c r="A79" s="1188" t="s">
        <v>1932</v>
      </c>
    </row>
    <row r="80" ht="17.25" customHeight="1"/>
    <row r="81" s="50" customFormat="1" ht="21" customHeight="1">
      <c r="A81" s="545"/>
      <c r="B81" s="124"/>
      <c r="C81" s="124"/>
      <c r="D81" s="53"/>
      <c r="E81" s="91"/>
      <c r="F81" s="1235" t="e">
        <f>INDEX(IP_MAIN_LIST_NAME_IP,MATCH(A81,IP_MAIN_LIST_IP_ID,0))&amp;" ("&amp;INDEX(IP_MAIN_START_DATE,MATCH(A81,IP_MAIN_LIST_IP_ID,0))&amp;"-"&amp;INDEX(IP_MAIN_END_DATE,MATCH(A81,IP_MAIN_LIST_IP_ID,0))&amp;")"</f>
        <v>#VALUE!</v>
      </c>
      <c r="G81" s="1236"/>
      <c r="H81" s="1236"/>
      <c r="I81" s="1237"/>
      <c r="J81" s="1237"/>
      <c r="K81" s="1238"/>
      <c r="L81" s="1238"/>
      <c r="M81" s="1238"/>
      <c r="N81" s="1239"/>
      <c r="O81" s="1239"/>
      <c r="P81" s="1239"/>
      <c r="Q81" s="1239"/>
      <c r="R81" s="1239"/>
      <c r="S81" s="1239"/>
      <c r="T81" s="1239"/>
      <c r="U81" s="1239"/>
      <c r="V81" s="1239"/>
      <c r="W81" s="1239"/>
      <c r="X81" s="1239"/>
      <c r="Y81" s="1239"/>
      <c r="Z81" s="1239"/>
      <c r="AA81" s="1239"/>
      <c r="AB81" s="1239"/>
      <c r="AC81" s="1239"/>
      <c r="AD81" s="1239"/>
      <c r="AE81" s="1240"/>
      <c r="AF81" s="1238"/>
      <c r="AG81" s="1238"/>
      <c r="AH81" s="1238"/>
      <c r="AI81" s="1238"/>
      <c r="AJ81" s="1238"/>
      <c r="AK81" s="1238"/>
      <c r="AL81" s="964"/>
      <c r="AM81" s="143"/>
      <c r="AN81" s="143"/>
      <c r="AO81" s="143"/>
      <c r="AP81" s="143"/>
      <c r="AQ81" s="143"/>
      <c r="AR81" s="143"/>
      <c r="AS81" s="143"/>
      <c r="AT81" s="143"/>
      <c r="AU81" s="143"/>
      <c r="AV81" s="143"/>
      <c r="AW81" s="143"/>
      <c r="AX81" s="143"/>
      <c r="AY81" s="143"/>
      <c r="AZ81" s="143"/>
      <c r="BA81" s="143"/>
      <c r="BB81" s="143"/>
      <c r="BC81" s="143"/>
      <c r="BD81" s="143"/>
      <c r="BE81" s="143"/>
      <c r="BF81" s="143"/>
    </row>
    <row r="82" s="50" customFormat="1" ht="0.75" customHeight="1">
      <c r="A82" s="124"/>
      <c r="B82" s="124"/>
      <c r="C82" s="124"/>
      <c r="D82" s="53"/>
      <c r="E82" s="91"/>
      <c r="F82" s="1191"/>
      <c r="G82" s="993"/>
      <c r="H82" s="1241" t="s">
        <v>378</v>
      </c>
      <c r="I82" s="1242"/>
      <c r="J82" s="160"/>
      <c r="K82" s="160"/>
      <c r="L82" s="1243"/>
      <c r="M82" s="550"/>
      <c r="N82" s="1244"/>
      <c r="O82" s="1245"/>
      <c r="P82" s="1244"/>
      <c r="Q82" s="1244"/>
      <c r="R82" s="1244"/>
      <c r="S82" s="1244"/>
      <c r="T82" s="1244"/>
      <c r="U82" s="1244"/>
      <c r="V82" s="1244"/>
      <c r="W82" s="1244"/>
      <c r="X82" s="1244"/>
      <c r="Y82" s="1244"/>
      <c r="Z82" s="1244"/>
      <c r="AA82" s="1244"/>
      <c r="AB82" s="1244"/>
      <c r="AC82" s="1244"/>
      <c r="AD82" s="1244"/>
      <c r="AE82" s="1244"/>
      <c r="AF82" s="1246"/>
      <c r="AG82" s="1243"/>
      <c r="AH82" s="1243"/>
      <c r="AI82" s="1246"/>
      <c r="AJ82" s="1243"/>
      <c r="AK82" s="1243"/>
      <c r="AL82" s="964"/>
      <c r="AM82" s="143"/>
      <c r="AN82" s="143"/>
      <c r="AO82" s="143"/>
      <c r="AP82" s="143"/>
      <c r="AQ82" s="143"/>
      <c r="AR82" s="143"/>
      <c r="AS82" s="143"/>
      <c r="AT82" s="143"/>
      <c r="AU82" s="143"/>
      <c r="AV82" s="143"/>
      <c r="AW82" s="143"/>
      <c r="AX82" s="143"/>
      <c r="AY82" s="143"/>
      <c r="AZ82" s="143"/>
      <c r="BA82" s="143"/>
      <c r="BB82" s="143"/>
      <c r="BC82" s="143"/>
      <c r="BD82" s="143"/>
      <c r="BE82" s="143"/>
      <c r="BF82" s="143"/>
    </row>
    <row r="83" s="50" customFormat="1" ht="0.75" customHeight="1">
      <c r="A83" s="124"/>
      <c r="B83" s="124"/>
      <c r="C83" s="124"/>
      <c r="D83" s="53"/>
      <c r="E83" s="91"/>
      <c r="F83" s="1191"/>
      <c r="G83" s="993"/>
      <c r="H83" s="1241"/>
      <c r="I83" s="1242"/>
      <c r="J83" s="160"/>
      <c r="K83" s="160"/>
      <c r="L83" s="1243"/>
      <c r="M83" s="550"/>
      <c r="N83" s="1247"/>
      <c r="O83" s="1248"/>
      <c r="P83" s="1249"/>
      <c r="Q83" s="160"/>
      <c r="R83" s="160"/>
      <c r="S83" s="160"/>
      <c r="T83" s="160"/>
      <c r="U83" s="160"/>
      <c r="V83" s="160"/>
      <c r="W83" s="160"/>
      <c r="X83" s="160"/>
      <c r="Y83" s="160"/>
      <c r="Z83" s="1250"/>
      <c r="AA83" s="1251"/>
      <c r="AB83" s="1251"/>
      <c r="AC83" s="1252"/>
      <c r="AD83" s="1252"/>
      <c r="AE83" s="1253"/>
      <c r="AF83" s="1246"/>
      <c r="AG83" s="1243"/>
      <c r="AH83" s="1243"/>
      <c r="AI83" s="1246"/>
      <c r="AJ83" s="1243"/>
      <c r="AK83" s="1243"/>
      <c r="AL83" s="964"/>
      <c r="AM83" s="143"/>
      <c r="AN83" s="143"/>
      <c r="AO83" s="143"/>
      <c r="AP83" s="143"/>
      <c r="AQ83" s="143"/>
      <c r="AR83" s="143"/>
      <c r="AS83" s="143"/>
      <c r="AT83" s="143"/>
      <c r="AU83" s="143"/>
      <c r="AV83" s="143"/>
      <c r="AW83" s="143"/>
      <c r="AX83" s="143"/>
      <c r="AY83" s="143"/>
      <c r="AZ83" s="143"/>
      <c r="BA83" s="143"/>
      <c r="BB83" s="143"/>
      <c r="BC83" s="143"/>
      <c r="BD83" s="143"/>
      <c r="BE83" s="143"/>
      <c r="BF83" s="143"/>
    </row>
    <row r="84" s="50" customFormat="1" ht="0.75" customHeight="1">
      <c r="A84" s="124"/>
      <c r="B84" s="124"/>
      <c r="C84" s="124"/>
      <c r="D84" s="53"/>
      <c r="E84" s="91"/>
      <c r="F84" s="1191"/>
      <c r="G84" s="993"/>
      <c r="H84" s="1241"/>
      <c r="I84" s="1242"/>
      <c r="J84" s="160"/>
      <c r="K84" s="160"/>
      <c r="L84" s="1243"/>
      <c r="M84" s="550"/>
      <c r="N84" s="1247"/>
      <c r="O84" s="1248"/>
      <c r="P84" s="1254"/>
      <c r="Q84" s="160"/>
      <c r="R84" s="160"/>
      <c r="S84" s="160"/>
      <c r="T84" s="160"/>
      <c r="U84" s="160"/>
      <c r="V84" s="160"/>
      <c r="W84" s="160"/>
      <c r="X84" s="160"/>
      <c r="Y84" s="160"/>
      <c r="Z84" s="1255"/>
      <c r="AA84" s="1248"/>
      <c r="AB84" s="1256"/>
      <c r="AC84" s="1257"/>
      <c r="AD84" s="1256"/>
      <c r="AE84" s="1257"/>
      <c r="AF84" s="1246"/>
      <c r="AG84" s="1243"/>
      <c r="AH84" s="1243"/>
      <c r="AI84" s="1246"/>
      <c r="AJ84" s="1243"/>
      <c r="AK84" s="1243"/>
      <c r="AL84" s="964"/>
      <c r="AM84" s="143"/>
      <c r="AN84" s="143"/>
      <c r="AO84" s="143"/>
      <c r="AP84" s="143"/>
      <c r="AQ84" s="143"/>
      <c r="AR84" s="143"/>
      <c r="AS84" s="143"/>
      <c r="AT84" s="143"/>
      <c r="AU84" s="143"/>
      <c r="AV84" s="143"/>
      <c r="AW84" s="143"/>
      <c r="AX84" s="143"/>
      <c r="AY84" s="143"/>
      <c r="AZ84" s="143"/>
      <c r="BA84" s="143"/>
      <c r="BB84" s="143"/>
      <c r="BC84" s="143"/>
      <c r="BD84" s="143"/>
      <c r="BE84" s="143"/>
      <c r="BF84" s="143"/>
    </row>
    <row r="85" s="50" customFormat="1" ht="0.75" customHeight="1">
      <c r="A85" s="124"/>
      <c r="B85" s="124"/>
      <c r="C85" s="124"/>
      <c r="D85" s="53"/>
      <c r="E85" s="91"/>
      <c r="F85" s="1191"/>
      <c r="G85" s="993"/>
      <c r="H85" s="1241"/>
      <c r="I85" s="1242"/>
      <c r="J85" s="160"/>
      <c r="K85" s="160"/>
      <c r="L85" s="1243"/>
      <c r="M85" s="550"/>
      <c r="N85" s="1247"/>
      <c r="O85" s="1248"/>
      <c r="P85" s="1258"/>
      <c r="Q85" s="160"/>
      <c r="R85" s="160"/>
      <c r="S85" s="160"/>
      <c r="T85" s="160"/>
      <c r="U85" s="160"/>
      <c r="V85" s="160"/>
      <c r="W85" s="160"/>
      <c r="X85" s="160"/>
      <c r="Y85" s="160"/>
      <c r="Z85" s="1250"/>
      <c r="AA85" s="1251"/>
      <c r="AB85" s="1259"/>
      <c r="AC85" s="1252"/>
      <c r="AD85" s="1252"/>
      <c r="AE85" s="1260"/>
      <c r="AF85" s="1246"/>
      <c r="AG85" s="1243"/>
      <c r="AH85" s="1243"/>
      <c r="AI85" s="1246"/>
      <c r="AJ85" s="1243"/>
      <c r="AK85" s="1243"/>
      <c r="AL85" s="964"/>
      <c r="AM85" s="143"/>
      <c r="AN85" s="143"/>
      <c r="AO85" s="143"/>
      <c r="AP85" s="143"/>
      <c r="AQ85" s="143"/>
      <c r="AR85" s="143"/>
      <c r="AS85" s="143"/>
      <c r="AT85" s="143"/>
      <c r="AU85" s="143"/>
      <c r="AV85" s="143"/>
      <c r="AW85" s="143"/>
      <c r="AX85" s="143"/>
      <c r="AY85" s="143"/>
      <c r="AZ85" s="143"/>
      <c r="BA85" s="143"/>
      <c r="BB85" s="143"/>
      <c r="BC85" s="143"/>
      <c r="BD85" s="143"/>
      <c r="BE85" s="143"/>
      <c r="BF85" s="143"/>
    </row>
    <row r="86" s="50" customFormat="1" ht="0.75" customHeight="1">
      <c r="A86" s="124"/>
      <c r="B86" s="124"/>
      <c r="C86" s="124"/>
      <c r="D86" s="53"/>
      <c r="E86" s="91"/>
      <c r="F86" s="1191"/>
      <c r="G86" s="993"/>
      <c r="H86" s="1241"/>
      <c r="I86" s="1242"/>
      <c r="J86" s="160"/>
      <c r="K86" s="160"/>
      <c r="L86" s="1243"/>
      <c r="M86" s="550"/>
      <c r="N86" s="1251"/>
      <c r="O86" s="1251"/>
      <c r="P86" s="1259"/>
      <c r="Q86" s="1251"/>
      <c r="R86" s="1251"/>
      <c r="S86" s="1251"/>
      <c r="T86" s="1251"/>
      <c r="U86" s="1251"/>
      <c r="V86" s="1251"/>
      <c r="W86" s="1251"/>
      <c r="X86" s="1251"/>
      <c r="Y86" s="1251"/>
      <c r="Z86" s="1251"/>
      <c r="AA86" s="1251"/>
      <c r="AB86" s="1251"/>
      <c r="AC86" s="1251"/>
      <c r="AD86" s="1251"/>
      <c r="AE86" s="1261"/>
      <c r="AF86" s="1246"/>
      <c r="AG86" s="1243"/>
      <c r="AH86" s="1243"/>
      <c r="AI86" s="1246"/>
      <c r="AJ86" s="1243"/>
      <c r="AK86" s="1243"/>
      <c r="AL86" s="964"/>
      <c r="AM86" s="143"/>
      <c r="AN86" s="143"/>
      <c r="AO86" s="143"/>
      <c r="AP86" s="143"/>
      <c r="AQ86" s="143"/>
      <c r="AR86" s="143"/>
      <c r="AS86" s="143"/>
      <c r="AT86" s="143"/>
      <c r="AU86" s="143"/>
      <c r="AV86" s="143"/>
      <c r="AW86" s="143"/>
      <c r="AX86" s="143"/>
      <c r="AY86" s="143"/>
      <c r="AZ86" s="143"/>
      <c r="BA86" s="143"/>
      <c r="BB86" s="143"/>
      <c r="BC86" s="143"/>
      <c r="BD86" s="143"/>
      <c r="BE86" s="143"/>
      <c r="BF86" s="143"/>
    </row>
    <row r="87" s="50" customFormat="1" ht="12" customHeight="1">
      <c r="A87" s="124"/>
      <c r="B87" s="124"/>
      <c r="C87" s="124"/>
      <c r="D87" s="53"/>
      <c r="E87" s="91"/>
      <c r="F87" s="1262"/>
      <c r="G87" s="1263"/>
      <c r="H87" s="1263"/>
      <c r="I87" s="1264" t="s">
        <v>1933</v>
      </c>
      <c r="J87" s="1264"/>
      <c r="K87" s="1264"/>
      <c r="L87" s="1265"/>
      <c r="M87" s="1265"/>
      <c r="N87" s="1266"/>
      <c r="O87" s="1266"/>
      <c r="P87" s="1266"/>
      <c r="Q87" s="1266"/>
      <c r="R87" s="1266"/>
      <c r="S87" s="1266"/>
      <c r="T87" s="1266"/>
      <c r="U87" s="1266"/>
      <c r="V87" s="1266"/>
      <c r="W87" s="1266"/>
      <c r="X87" s="1266"/>
      <c r="Y87" s="1266"/>
      <c r="Z87" s="1266"/>
      <c r="AA87" s="1266"/>
      <c r="AB87" s="1266"/>
      <c r="AC87" s="1266"/>
      <c r="AD87" s="1266"/>
      <c r="AE87" s="1266"/>
      <c r="AF87" s="1266"/>
      <c r="AG87" s="1265"/>
      <c r="AH87" s="1265"/>
      <c r="AI87" s="1266"/>
      <c r="AJ87" s="1265"/>
      <c r="AK87" s="1266"/>
      <c r="AL87" s="964"/>
      <c r="AM87" s="143"/>
      <c r="AN87" s="143"/>
      <c r="AO87" s="143"/>
      <c r="AP87" s="143"/>
      <c r="AQ87" s="143"/>
      <c r="AR87" s="143"/>
      <c r="AS87" s="143"/>
      <c r="AT87" s="143"/>
      <c r="AU87" s="143"/>
      <c r="AV87" s="143"/>
      <c r="AW87" s="143"/>
      <c r="AX87" s="143"/>
      <c r="AY87" s="143"/>
      <c r="AZ87" s="143"/>
      <c r="BA87" s="143"/>
      <c r="BB87" s="143"/>
      <c r="BC87" s="143"/>
      <c r="BD87" s="143"/>
      <c r="BE87" s="143"/>
      <c r="BF87" s="143"/>
    </row>
    <row r="89" s="1188" customFormat="1" ht="11.25" customHeight="1">
      <c r="A89" s="1188" t="s">
        <v>1934</v>
      </c>
    </row>
    <row r="91" s="50" customFormat="1" ht="11.25" customHeight="1">
      <c r="A91" s="124"/>
      <c r="B91" s="124"/>
      <c r="C91" s="124"/>
      <c r="D91" s="53"/>
      <c r="E91" s="91"/>
      <c r="F91" s="1267"/>
      <c r="G91" s="1268"/>
      <c r="H91" s="1268"/>
      <c r="I91" s="1269"/>
      <c r="J91" s="1269"/>
      <c r="K91" s="1270"/>
      <c r="L91" s="1269"/>
      <c r="M91" s="1268"/>
      <c r="N91" s="1271"/>
      <c r="O91" s="1272">
        <v>1</v>
      </c>
      <c r="P91" s="1273" t="s">
        <v>19</v>
      </c>
      <c r="Q91" s="472" t="s">
        <v>28</v>
      </c>
      <c r="R91" s="472" t="s">
        <v>28</v>
      </c>
      <c r="S91" s="472" t="s">
        <v>28</v>
      </c>
      <c r="T91" s="472" t="s">
        <v>28</v>
      </c>
      <c r="U91" s="472" t="s">
        <v>28</v>
      </c>
      <c r="V91" s="472" t="s">
        <v>28</v>
      </c>
      <c r="W91" s="472" t="s">
        <v>28</v>
      </c>
      <c r="X91" s="472" t="s">
        <v>28</v>
      </c>
      <c r="Y91" s="472"/>
      <c r="Z91" s="1274"/>
      <c r="AA91" s="1275"/>
      <c r="AB91" s="1275"/>
      <c r="AC91" s="1276"/>
      <c r="AD91" s="1276"/>
      <c r="AE91" s="1276"/>
      <c r="AF91" s="1277"/>
      <c r="AG91" s="1278"/>
      <c r="AH91" s="1278"/>
      <c r="AI91" s="1277"/>
      <c r="AJ91" s="1278"/>
      <c r="AK91" s="1279"/>
      <c r="AL91" s="964"/>
      <c r="AM91" s="143"/>
      <c r="AN91" s="143"/>
      <c r="AO91" s="143"/>
      <c r="AP91" s="143"/>
      <c r="AQ91" s="143"/>
      <c r="AR91" s="143"/>
      <c r="AS91" s="143"/>
      <c r="AT91" s="143"/>
      <c r="AU91" s="143"/>
      <c r="AV91" s="143"/>
      <c r="AW91" s="143"/>
      <c r="AX91" s="143"/>
      <c r="AY91" s="143"/>
      <c r="AZ91" s="143"/>
      <c r="BA91" s="143"/>
      <c r="BB91" s="143"/>
      <c r="BC91" s="143"/>
      <c r="BD91" s="143"/>
      <c r="BE91" s="143"/>
      <c r="BF91" s="143"/>
    </row>
    <row r="92" s="50" customFormat="1" ht="11.25" customHeight="1">
      <c r="A92" s="124"/>
      <c r="B92" s="124"/>
      <c r="C92" s="124"/>
      <c r="D92" s="53"/>
      <c r="E92" s="91"/>
      <c r="F92" s="1267"/>
      <c r="G92" s="1268"/>
      <c r="H92" s="1268"/>
      <c r="I92" s="1280"/>
      <c r="J92" s="1280"/>
      <c r="K92" s="1270"/>
      <c r="L92" s="1280"/>
      <c r="M92" s="1268"/>
      <c r="N92" s="1271"/>
      <c r="O92" s="1272"/>
      <c r="P92" s="1281"/>
      <c r="Q92" s="472"/>
      <c r="R92" s="472"/>
      <c r="S92" s="1282"/>
      <c r="T92" s="472"/>
      <c r="U92" s="472"/>
      <c r="V92" s="472"/>
      <c r="W92" s="472"/>
      <c r="X92" s="472"/>
      <c r="Y92" s="472"/>
      <c r="Z92" s="1283"/>
      <c r="AA92" s="1272">
        <v>1</v>
      </c>
      <c r="AB92" s="1284"/>
      <c r="AC92" s="913"/>
      <c r="AD92" s="1284">
        <f>AB92</f>
        <v>0</v>
      </c>
      <c r="AE92" s="929"/>
      <c r="AF92" s="1270"/>
      <c r="AG92" s="1278"/>
      <c r="AH92" s="1278"/>
      <c r="AI92" s="1270"/>
      <c r="AJ92" s="1278"/>
      <c r="AK92" s="1279"/>
      <c r="AL92" s="964"/>
      <c r="AM92" s="143"/>
      <c r="AN92" s="143"/>
      <c r="AO92" s="143"/>
      <c r="AP92" s="143"/>
      <c r="AQ92" s="143"/>
      <c r="AR92" s="143"/>
      <c r="AS92" s="143"/>
      <c r="AT92" s="143"/>
      <c r="AU92" s="143"/>
      <c r="AV92" s="143"/>
      <c r="AW92" s="143"/>
      <c r="AX92" s="143"/>
      <c r="AY92" s="143"/>
      <c r="AZ92" s="143"/>
      <c r="BA92" s="143"/>
      <c r="BB92" s="143"/>
      <c r="BC92" s="143"/>
      <c r="BD92" s="143"/>
      <c r="BE92" s="143"/>
      <c r="BF92" s="143"/>
    </row>
    <row r="93" s="50" customFormat="1" ht="11.25" customHeight="1">
      <c r="A93" s="124"/>
      <c r="B93" s="124"/>
      <c r="C93" s="124"/>
      <c r="D93" s="53"/>
      <c r="E93" s="91"/>
      <c r="F93" s="1267"/>
      <c r="G93" s="1268"/>
      <c r="H93" s="1268"/>
      <c r="I93" s="1285"/>
      <c r="J93" s="1285"/>
      <c r="K93" s="1270"/>
      <c r="L93" s="1285"/>
      <c r="M93" s="1268"/>
      <c r="N93" s="1271"/>
      <c r="O93" s="1272"/>
      <c r="P93" s="1286"/>
      <c r="Q93" s="472"/>
      <c r="R93" s="472"/>
      <c r="S93" s="1282"/>
      <c r="T93" s="472"/>
      <c r="U93" s="472"/>
      <c r="V93" s="472"/>
      <c r="W93" s="472"/>
      <c r="X93" s="472"/>
      <c r="Y93" s="472"/>
      <c r="Z93" s="1274"/>
      <c r="AA93" s="1275"/>
      <c r="AB93" s="172" t="s">
        <v>1935</v>
      </c>
      <c r="AC93" s="1276"/>
      <c r="AD93" s="1276"/>
      <c r="AE93" s="1276"/>
      <c r="AF93" s="1287"/>
      <c r="AG93" s="1278"/>
      <c r="AH93" s="1278"/>
      <c r="AI93" s="1287"/>
      <c r="AJ93" s="1278"/>
      <c r="AK93" s="1279"/>
      <c r="AL93" s="964"/>
      <c r="AM93" s="143"/>
      <c r="AN93" s="143"/>
      <c r="AO93" s="143"/>
      <c r="AP93" s="143"/>
      <c r="AQ93" s="143"/>
      <c r="AR93" s="143"/>
      <c r="AS93" s="143"/>
      <c r="AT93" s="143"/>
      <c r="AU93" s="143"/>
      <c r="AV93" s="143"/>
      <c r="AW93" s="143"/>
      <c r="AX93" s="143"/>
      <c r="AY93" s="143"/>
      <c r="AZ93" s="143"/>
      <c r="BA93" s="143"/>
      <c r="BB93" s="143"/>
      <c r="BC93" s="143"/>
      <c r="BD93" s="143"/>
      <c r="BE93" s="143"/>
      <c r="BF93" s="143"/>
    </row>
    <row r="95" s="1188" customFormat="1" ht="11.25" customHeight="1">
      <c r="A95" s="1188" t="s">
        <v>1936</v>
      </c>
    </row>
    <row r="97" s="50" customFormat="1" ht="11.25" customHeight="1">
      <c r="A97" s="124"/>
      <c r="B97" s="124"/>
      <c r="C97" s="124"/>
      <c r="D97" s="53"/>
      <c r="E97" s="91"/>
      <c r="F97" s="1268"/>
      <c r="G97" s="1268"/>
      <c r="H97" s="1268"/>
      <c r="I97" s="1268"/>
      <c r="J97" s="1268"/>
      <c r="K97" s="1268"/>
      <c r="L97" s="1268"/>
      <c r="M97" s="1268"/>
      <c r="N97" s="1268"/>
      <c r="O97" s="1268"/>
      <c r="P97" s="1268"/>
      <c r="Q97" s="1268"/>
      <c r="R97" s="1268"/>
      <c r="S97" s="1268"/>
      <c r="T97" s="1268"/>
      <c r="U97" s="1268"/>
      <c r="V97" s="1268"/>
      <c r="W97" s="1268"/>
      <c r="X97" s="1268"/>
      <c r="Y97" s="1268"/>
      <c r="Z97" s="1288"/>
      <c r="AA97" s="1289">
        <v>1</v>
      </c>
      <c r="AB97" s="1284"/>
      <c r="AC97" s="913"/>
      <c r="AD97" s="1284">
        <f>AB97</f>
        <v>0</v>
      </c>
      <c r="AE97" s="913"/>
      <c r="AF97" s="1270"/>
      <c r="AG97" s="1278"/>
      <c r="AH97" s="1278"/>
      <c r="AI97" s="1270"/>
      <c r="AJ97" s="1278"/>
      <c r="AK97" s="1279"/>
      <c r="AL97" s="964"/>
      <c r="AM97" s="143"/>
      <c r="AN97" s="143"/>
      <c r="AO97" s="143"/>
      <c r="AP97" s="143"/>
      <c r="AQ97" s="143"/>
      <c r="AR97" s="143"/>
      <c r="AS97" s="143"/>
      <c r="AT97" s="143"/>
      <c r="AU97" s="143"/>
      <c r="AV97" s="143"/>
      <c r="AW97" s="143"/>
      <c r="AX97" s="143"/>
      <c r="AY97" s="143"/>
      <c r="AZ97" s="143"/>
      <c r="BA97" s="143"/>
      <c r="BB97" s="143"/>
      <c r="BC97" s="143"/>
      <c r="BD97" s="143"/>
      <c r="BE97" s="143"/>
      <c r="BF97" s="143"/>
    </row>
    <row r="99" s="1188" customFormat="1" ht="11.25" customHeight="1">
      <c r="A99" s="1188" t="s">
        <v>1937</v>
      </c>
    </row>
    <row r="101" s="50" customFormat="1" ht="11.25" customHeight="1">
      <c r="A101" s="124"/>
      <c r="B101" s="124"/>
      <c r="C101" s="124"/>
      <c r="D101" s="53"/>
      <c r="E101" s="91"/>
      <c r="F101" s="1267"/>
      <c r="G101" s="1268"/>
      <c r="H101" s="993" t="s">
        <v>109</v>
      </c>
      <c r="I101" s="1290"/>
      <c r="J101" s="402"/>
      <c r="K101" s="462"/>
      <c r="L101" s="224" t="s">
        <v>19</v>
      </c>
      <c r="M101" s="218"/>
      <c r="N101" s="1291"/>
      <c r="O101" s="1292" t="s">
        <v>378</v>
      </c>
      <c r="P101" s="1293"/>
      <c r="Q101" s="1293"/>
      <c r="R101" s="1293"/>
      <c r="S101" s="1293"/>
      <c r="T101" s="1293"/>
      <c r="U101" s="1293"/>
      <c r="V101" s="1293"/>
      <c r="W101" s="1293"/>
      <c r="X101" s="1293"/>
      <c r="Y101" s="1293"/>
      <c r="Z101" s="1293"/>
      <c r="AA101" s="1293"/>
      <c r="AB101" s="1293"/>
      <c r="AC101" s="1293"/>
      <c r="AD101" s="1293"/>
      <c r="AE101" s="1293"/>
      <c r="AF101" s="1294"/>
      <c r="AG101" s="1295"/>
      <c r="AH101" s="1295"/>
      <c r="AI101" s="1294"/>
      <c r="AJ101" s="1295"/>
      <c r="AK101" s="1295"/>
      <c r="AL101" s="964"/>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row>
    <row r="102" s="50" customFormat="1" ht="11.25" customHeight="1">
      <c r="A102" s="124"/>
      <c r="B102" s="124"/>
      <c r="C102" s="124"/>
      <c r="D102" s="53"/>
      <c r="E102" s="91"/>
      <c r="F102" s="1267"/>
      <c r="G102" s="1268"/>
      <c r="H102" s="993"/>
      <c r="I102" s="1290"/>
      <c r="J102" s="402"/>
      <c r="K102" s="462"/>
      <c r="L102" s="224"/>
      <c r="M102" s="218"/>
      <c r="N102" s="1271"/>
      <c r="O102" s="1289">
        <v>1</v>
      </c>
      <c r="P102" s="1273" t="s">
        <v>19</v>
      </c>
      <c r="Q102" s="472" t="s">
        <v>28</v>
      </c>
      <c r="R102" s="472" t="s">
        <v>28</v>
      </c>
      <c r="S102" s="472" t="s">
        <v>28</v>
      </c>
      <c r="T102" s="472" t="s">
        <v>28</v>
      </c>
      <c r="U102" s="472" t="s">
        <v>28</v>
      </c>
      <c r="V102" s="472" t="s">
        <v>28</v>
      </c>
      <c r="W102" s="472" t="s">
        <v>28</v>
      </c>
      <c r="X102" s="472" t="s">
        <v>28</v>
      </c>
      <c r="Y102" s="472"/>
      <c r="Z102" s="1274"/>
      <c r="AA102" s="1275"/>
      <c r="AB102" s="1275"/>
      <c r="AC102" s="1276"/>
      <c r="AD102" s="1276"/>
      <c r="AE102" s="1296"/>
      <c r="AF102" s="1294"/>
      <c r="AG102" s="1295"/>
      <c r="AH102" s="1295"/>
      <c r="AI102" s="1294"/>
      <c r="AJ102" s="1295"/>
      <c r="AK102" s="1295"/>
      <c r="AL102" s="964"/>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row>
    <row r="103" s="50" customFormat="1" ht="11.25" customHeight="1">
      <c r="A103" s="124"/>
      <c r="B103" s="124"/>
      <c r="C103" s="124"/>
      <c r="D103" s="53"/>
      <c r="E103" s="91"/>
      <c r="F103" s="1267"/>
      <c r="G103" s="1268"/>
      <c r="H103" s="993"/>
      <c r="I103" s="1290"/>
      <c r="J103" s="402"/>
      <c r="K103" s="462"/>
      <c r="L103" s="224"/>
      <c r="M103" s="218"/>
      <c r="N103" s="1271"/>
      <c r="O103" s="1289"/>
      <c r="P103" s="1281"/>
      <c r="Q103" s="472"/>
      <c r="R103" s="472"/>
      <c r="S103" s="1282"/>
      <c r="T103" s="472"/>
      <c r="U103" s="472"/>
      <c r="V103" s="472"/>
      <c r="W103" s="472"/>
      <c r="X103" s="472"/>
      <c r="Y103" s="472"/>
      <c r="Z103" s="1283"/>
      <c r="AA103" s="1272">
        <v>1</v>
      </c>
      <c r="AB103" s="1284"/>
      <c r="AC103" s="913"/>
      <c r="AD103" s="1284">
        <f>AB103</f>
        <v>0</v>
      </c>
      <c r="AE103" s="913"/>
      <c r="AF103" s="1294"/>
      <c r="AG103" s="1295"/>
      <c r="AH103" s="1295"/>
      <c r="AI103" s="1294"/>
      <c r="AJ103" s="1295"/>
      <c r="AK103" s="1295"/>
      <c r="AL103" s="964"/>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row>
    <row r="104" s="50" customFormat="1" ht="11.25" customHeight="1">
      <c r="A104" s="124"/>
      <c r="B104" s="124"/>
      <c r="C104" s="124"/>
      <c r="D104" s="53"/>
      <c r="E104" s="91"/>
      <c r="F104" s="1267"/>
      <c r="G104" s="1268"/>
      <c r="H104" s="993"/>
      <c r="I104" s="1290"/>
      <c r="J104" s="402"/>
      <c r="K104" s="462"/>
      <c r="L104" s="224"/>
      <c r="M104" s="218"/>
      <c r="N104" s="1271"/>
      <c r="O104" s="1289"/>
      <c r="P104" s="1286"/>
      <c r="Q104" s="472"/>
      <c r="R104" s="472"/>
      <c r="S104" s="1282"/>
      <c r="T104" s="472"/>
      <c r="U104" s="472"/>
      <c r="V104" s="472"/>
      <c r="W104" s="472"/>
      <c r="X104" s="472"/>
      <c r="Y104" s="472"/>
      <c r="Z104" s="1274"/>
      <c r="AA104" s="1275"/>
      <c r="AB104" s="172" t="s">
        <v>1935</v>
      </c>
      <c r="AC104" s="1276"/>
      <c r="AD104" s="1276"/>
      <c r="AE104" s="1297"/>
      <c r="AF104" s="1294"/>
      <c r="AG104" s="1295"/>
      <c r="AH104" s="1295"/>
      <c r="AI104" s="1294"/>
      <c r="AJ104" s="1295"/>
      <c r="AK104" s="1295"/>
      <c r="AL104" s="964"/>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row>
    <row r="105" s="50" customFormat="1" ht="11.25" customHeight="1">
      <c r="A105" s="124"/>
      <c r="B105" s="124"/>
      <c r="C105" s="124"/>
      <c r="D105" s="53"/>
      <c r="E105" s="91"/>
      <c r="F105" s="1267"/>
      <c r="G105" s="1268"/>
      <c r="H105" s="993"/>
      <c r="I105" s="1290"/>
      <c r="J105" s="402"/>
      <c r="K105" s="462"/>
      <c r="L105" s="224"/>
      <c r="M105" s="218"/>
      <c r="N105" s="1274"/>
      <c r="O105" s="1275"/>
      <c r="P105" s="172" t="s">
        <v>1938</v>
      </c>
      <c r="Q105" s="1275"/>
      <c r="R105" s="1275"/>
      <c r="S105" s="1275"/>
      <c r="T105" s="1275"/>
      <c r="U105" s="1275"/>
      <c r="V105" s="1275"/>
      <c r="W105" s="1275"/>
      <c r="X105" s="1275"/>
      <c r="Y105" s="1275"/>
      <c r="Z105" s="1275"/>
      <c r="AA105" s="1275"/>
      <c r="AB105" s="1275"/>
      <c r="AC105" s="1275"/>
      <c r="AD105" s="1275"/>
      <c r="AE105" s="1298"/>
      <c r="AF105" s="1294"/>
      <c r="AG105" s="1295"/>
      <c r="AH105" s="1295"/>
      <c r="AI105" s="1294"/>
      <c r="AJ105" s="1295"/>
      <c r="AK105" s="1295"/>
      <c r="AL105" s="964"/>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row>
    <row r="107" s="1188" customFormat="1" ht="11.25" customHeight="1">
      <c r="A107" s="1188" t="s">
        <v>1939</v>
      </c>
    </row>
    <row r="108" ht="17.25" customHeight="1"/>
    <row r="109" s="970" customFormat="1" ht="21" customHeight="1">
      <c r="A109" s="545"/>
      <c r="B109" s="971"/>
      <c r="D109" s="970"/>
      <c r="E109" s="1001" t="s">
        <v>28</v>
      </c>
      <c r="F109" s="1299" t="e">
        <f>INDEX(IP_MAIN_LIST_NAME_IP,MATCH(A109,IP_MAIN_LIST_IP_ID,0))&amp;" ("&amp;INDEX(IP_MAIN_START_DATE,MATCH(A109,IP_MAIN_LIST_IP_ID,0))&amp;"-"&amp;INDEX(IP_MAIN_END_DATE,MATCH(A109,IP_MAIN_LIST_IP_ID,0))&amp;")"</f>
        <v>#VALUE!</v>
      </c>
      <c r="G109" s="1300"/>
      <c r="H109" s="1301"/>
      <c r="I109" s="1301"/>
      <c r="J109" s="1301"/>
      <c r="K109" s="1301"/>
      <c r="L109" s="1301"/>
      <c r="M109" s="1301"/>
      <c r="N109" s="1301"/>
      <c r="O109" s="1300"/>
      <c r="P109" s="1300"/>
      <c r="Q109" s="1300"/>
      <c r="R109" s="1300"/>
      <c r="S109" s="1300"/>
      <c r="T109" s="1300"/>
      <c r="U109" s="1302"/>
      <c r="V109" s="1302"/>
      <c r="W109" s="1302"/>
      <c r="X109" s="1302"/>
      <c r="Y109" s="1302"/>
      <c r="Z109" s="1302"/>
      <c r="AA109" s="1302"/>
      <c r="AB109" s="1300"/>
      <c r="AC109" s="1301"/>
      <c r="AD109" s="1301"/>
      <c r="AE109" s="1301"/>
      <c r="AF109" s="1301"/>
      <c r="AG109" s="1301"/>
      <c r="AH109" s="1301"/>
      <c r="AI109" s="1301"/>
      <c r="AJ109" s="1301"/>
      <c r="AK109" s="1301"/>
      <c r="AL109" s="1301"/>
      <c r="AM109" s="1301"/>
      <c r="AN109" s="1301"/>
      <c r="AO109" s="1301"/>
      <c r="AP109" s="1301"/>
      <c r="AQ109" s="1301"/>
      <c r="AR109" s="1301"/>
      <c r="AS109" s="1301"/>
      <c r="AT109" s="1301"/>
      <c r="AU109" s="1301"/>
      <c r="AV109" s="1301"/>
      <c r="AW109" s="1301"/>
      <c r="AX109" s="1301"/>
      <c r="AY109" s="1301"/>
      <c r="AZ109" s="1301"/>
      <c r="BA109" s="1301"/>
      <c r="BB109" s="1301"/>
      <c r="BC109" s="1301"/>
      <c r="BD109" s="1301"/>
      <c r="BE109" s="1301"/>
      <c r="BF109" s="1301"/>
      <c r="BG109" s="1301"/>
      <c r="BH109" s="1301"/>
      <c r="BI109" s="1301"/>
      <c r="BJ109" s="1301"/>
      <c r="BK109" s="1301"/>
      <c r="BL109" s="1301"/>
      <c r="BM109" s="1301"/>
      <c r="BN109" s="1301"/>
      <c r="BO109" s="1301"/>
      <c r="BP109" s="1301"/>
      <c r="BQ109" s="1301"/>
      <c r="BR109" s="1301"/>
      <c r="BS109" s="1301"/>
      <c r="BT109" s="1301"/>
      <c r="BU109" s="1301"/>
      <c r="BV109" s="1301"/>
      <c r="BW109" s="1301"/>
      <c r="BX109" s="1301"/>
      <c r="BY109" s="1301"/>
      <c r="BZ109" s="1301"/>
      <c r="CA109" s="1301"/>
      <c r="CB109" s="1301"/>
      <c r="CC109" s="1301"/>
      <c r="CD109" s="1301"/>
      <c r="CE109" s="1301"/>
      <c r="CF109" s="1301"/>
      <c r="CG109" s="1301"/>
      <c r="CH109" s="1301"/>
      <c r="CI109" s="1301"/>
      <c r="CJ109" s="1301"/>
      <c r="CK109" s="1301"/>
      <c r="CL109" s="1303"/>
      <c r="CM109" s="1303"/>
      <c r="CN109" s="1303"/>
      <c r="CO109" s="1303"/>
      <c r="CP109" s="1303"/>
      <c r="CQ109" s="1303"/>
      <c r="CR109" s="1303"/>
      <c r="CS109" s="1303"/>
      <c r="CT109" s="1303"/>
      <c r="CU109" s="1303"/>
      <c r="CV109" s="1303"/>
      <c r="CW109" s="1303"/>
      <c r="CX109" s="1303"/>
      <c r="CY109" s="1303"/>
      <c r="CZ109" s="1303"/>
      <c r="DA109" s="1303"/>
      <c r="DB109" s="1303"/>
      <c r="DC109" s="1303"/>
      <c r="DD109" s="1303"/>
      <c r="DE109" s="1303"/>
      <c r="DF109" s="1303"/>
      <c r="DG109" s="1303"/>
      <c r="DH109" s="1303"/>
      <c r="DI109" s="1303"/>
      <c r="DJ109" s="1303"/>
      <c r="DK109" s="1303"/>
      <c r="DL109" s="1303"/>
      <c r="DM109" s="1303"/>
      <c r="DN109" s="1303"/>
      <c r="DO109" s="1303"/>
      <c r="DP109" s="1303"/>
      <c r="DQ109" s="1303"/>
      <c r="DR109" s="1303"/>
      <c r="DS109" s="1303"/>
      <c r="DT109" s="1303"/>
      <c r="DU109" s="1303"/>
      <c r="DV109" s="1303"/>
      <c r="DW109" s="1303"/>
      <c r="DX109" s="1303"/>
      <c r="DY109" s="1303"/>
      <c r="DZ109" s="1303"/>
      <c r="EA109" s="1303"/>
      <c r="EB109" s="1303"/>
      <c r="EC109" s="1303"/>
      <c r="ED109" s="1303"/>
      <c r="EE109" s="1303"/>
      <c r="EF109" s="1303"/>
      <c r="EG109" s="1303"/>
      <c r="EH109" s="1303"/>
      <c r="EI109" s="1303"/>
      <c r="EJ109" s="1303"/>
      <c r="EK109" s="1303"/>
      <c r="EL109" s="1303"/>
      <c r="EM109" s="1303"/>
      <c r="EN109" s="1303"/>
      <c r="EO109" s="1303"/>
      <c r="EP109" s="1303"/>
      <c r="EQ109" s="1303"/>
      <c r="ER109" s="1303"/>
      <c r="ES109" s="1303"/>
      <c r="ET109" s="1303"/>
      <c r="EU109" s="1303"/>
      <c r="EV109" s="1303"/>
      <c r="EW109" s="1303"/>
      <c r="EX109" s="1303"/>
      <c r="EY109" s="1303"/>
      <c r="EZ109" s="1303"/>
      <c r="FA109" s="1303"/>
      <c r="FB109" s="1303"/>
      <c r="FC109" s="1303"/>
      <c r="FD109" s="1303"/>
      <c r="FE109" s="1303"/>
      <c r="FF109" s="1303"/>
      <c r="FG109" s="1303"/>
      <c r="FH109" s="1303"/>
      <c r="FI109" s="1303"/>
      <c r="FJ109" s="1303"/>
      <c r="FK109" s="1303"/>
      <c r="FL109" s="1303"/>
      <c r="FM109" s="1303"/>
      <c r="FN109" s="1303"/>
      <c r="FO109" s="1303"/>
      <c r="FP109" s="1303"/>
      <c r="FQ109" s="1303"/>
      <c r="FR109" s="1303"/>
      <c r="FS109" s="1303"/>
      <c r="FT109" s="1303"/>
      <c r="FU109" s="1303"/>
      <c r="FV109" s="1304"/>
      <c r="FW109" s="1010"/>
      <c r="FX109" s="1006"/>
    </row>
    <row r="110" s="970" customFormat="1" ht="24.75" customHeight="1">
      <c r="B110" s="971"/>
      <c r="C110" s="970"/>
      <c r="D110" s="970"/>
      <c r="E110" s="63"/>
      <c r="F110" s="885">
        <v>1</v>
      </c>
      <c r="G110" s="115"/>
      <c r="H110" s="108"/>
      <c r="I110" s="1305"/>
      <c r="J110" s="1306"/>
      <c r="K110" s="1306"/>
      <c r="L110" s="1306"/>
      <c r="M110" s="1306"/>
      <c r="N110" s="1306"/>
      <c r="O110" s="1307"/>
      <c r="P110" s="1307"/>
      <c r="Q110" s="1307"/>
      <c r="R110" s="1307"/>
      <c r="S110" s="1307"/>
      <c r="T110" s="1307"/>
      <c r="U110" s="1307"/>
      <c r="V110" s="1307"/>
      <c r="W110" s="1307"/>
      <c r="X110" s="1307"/>
      <c r="Y110" s="1307"/>
      <c r="Z110" s="1307"/>
      <c r="AA110" s="1307"/>
      <c r="AB110" s="1307"/>
      <c r="AC110" s="1306"/>
      <c r="AD110" s="1306"/>
      <c r="AE110" s="1306"/>
      <c r="AF110" s="1306"/>
      <c r="AG110" s="1306"/>
      <c r="AH110" s="1306"/>
      <c r="AI110" s="1306"/>
      <c r="AJ110" s="1306"/>
      <c r="AK110" s="1306"/>
      <c r="AL110" s="1306"/>
      <c r="AM110" s="1306"/>
      <c r="AN110" s="1306"/>
      <c r="AO110" s="1306"/>
      <c r="AP110" s="1306"/>
      <c r="AQ110" s="1306"/>
      <c r="AR110" s="1306"/>
      <c r="AS110" s="1306"/>
      <c r="AT110" s="1306"/>
      <c r="AU110" s="1306"/>
      <c r="AV110" s="1306"/>
      <c r="AW110" s="1306"/>
      <c r="AX110" s="1306"/>
      <c r="AY110" s="1306"/>
      <c r="AZ110" s="1306"/>
      <c r="BA110" s="1306"/>
      <c r="BB110" s="1306"/>
      <c r="BC110" s="1306"/>
      <c r="BD110" s="1306"/>
      <c r="BE110" s="1306"/>
      <c r="BF110" s="1306"/>
      <c r="BG110" s="1306"/>
      <c r="BH110" s="1306"/>
      <c r="BI110" s="1306"/>
      <c r="BJ110" s="1306"/>
      <c r="BK110" s="1306"/>
      <c r="BL110" s="1306"/>
      <c r="BM110" s="1306"/>
      <c r="BN110" s="1306"/>
      <c r="BO110" s="1306"/>
      <c r="BP110" s="1306"/>
      <c r="BQ110" s="1306"/>
      <c r="BR110" s="1306"/>
      <c r="BS110" s="1306"/>
      <c r="BT110" s="1307"/>
      <c r="BU110" s="1307"/>
      <c r="BV110" s="1307"/>
      <c r="BW110" s="1307"/>
      <c r="BX110" s="1307"/>
      <c r="BY110" s="1307"/>
      <c r="BZ110" s="1307"/>
      <c r="CA110" s="1307"/>
      <c r="CB110" s="1307"/>
      <c r="CC110" s="1307"/>
      <c r="CD110" s="1307"/>
      <c r="CE110" s="1307"/>
      <c r="CF110" s="1307"/>
      <c r="CG110" s="1307"/>
      <c r="CH110" s="1307"/>
      <c r="CI110" s="1307"/>
      <c r="CJ110" s="1307"/>
      <c r="CK110" s="1307"/>
      <c r="CL110" s="1306"/>
      <c r="CM110" s="1306"/>
      <c r="CN110" s="1306"/>
      <c r="CO110" s="1306"/>
      <c r="CP110" s="1306"/>
      <c r="CQ110" s="1306"/>
      <c r="CR110" s="1306"/>
      <c r="CS110" s="1306"/>
      <c r="CT110" s="1306"/>
      <c r="CU110" s="1306"/>
      <c r="CV110" s="1306"/>
      <c r="CW110" s="1306"/>
      <c r="CX110" s="1306"/>
      <c r="CY110" s="1307"/>
      <c r="CZ110" s="1307"/>
      <c r="DA110" s="1307"/>
      <c r="DB110" s="1307"/>
      <c r="DC110" s="1307"/>
      <c r="DD110" s="1307"/>
      <c r="DE110" s="1307"/>
      <c r="DF110" s="1307"/>
      <c r="DG110" s="1307"/>
      <c r="DH110" s="1307"/>
      <c r="DI110" s="1307"/>
      <c r="DJ110" s="1307"/>
      <c r="DK110" s="1306"/>
      <c r="DL110" s="1306"/>
      <c r="DM110" s="1306"/>
      <c r="DN110" s="1306"/>
      <c r="DO110" s="1306"/>
      <c r="DP110" s="1306"/>
      <c r="DQ110" s="1306"/>
      <c r="DR110" s="1306"/>
      <c r="DS110" s="1306"/>
      <c r="DT110" s="1306"/>
      <c r="DU110" s="1306"/>
      <c r="DV110" s="1306"/>
      <c r="DW110" s="1306"/>
      <c r="DX110" s="1306"/>
      <c r="DY110" s="1306"/>
      <c r="DZ110" s="1306"/>
      <c r="EA110" s="1306"/>
      <c r="EB110" s="1306"/>
      <c r="EC110" s="1306"/>
      <c r="ED110" s="1306"/>
      <c r="EE110" s="1306"/>
      <c r="EF110" s="1306"/>
      <c r="EG110" s="1306"/>
      <c r="EH110" s="1306"/>
      <c r="EI110" s="1306"/>
      <c r="EJ110" s="1306"/>
      <c r="EK110" s="1306"/>
      <c r="EL110" s="1306"/>
      <c r="EM110" s="1306"/>
      <c r="EN110" s="1306"/>
      <c r="EO110" s="1306"/>
      <c r="EP110" s="1306"/>
      <c r="EQ110" s="1306"/>
      <c r="ER110" s="1306"/>
      <c r="ES110" s="1306"/>
      <c r="ET110" s="1306"/>
      <c r="EU110" s="1306"/>
      <c r="EV110" s="1306"/>
      <c r="EW110" s="1306"/>
      <c r="EX110" s="1306"/>
      <c r="EY110" s="1306"/>
      <c r="EZ110" s="1306"/>
      <c r="FA110" s="1306"/>
      <c r="FB110" s="1306"/>
      <c r="FC110" s="1306"/>
      <c r="FD110" s="1306"/>
      <c r="FE110" s="1306"/>
      <c r="FF110" s="1306"/>
      <c r="FG110" s="1306"/>
      <c r="FH110" s="1306"/>
      <c r="FI110" s="1306"/>
      <c r="FJ110" s="1306"/>
      <c r="FK110" s="1306"/>
      <c r="FL110" s="1306"/>
      <c r="FM110" s="1306"/>
      <c r="FN110" s="1306"/>
      <c r="FO110" s="1306"/>
      <c r="FP110" s="1306"/>
      <c r="FQ110" s="1306"/>
      <c r="FR110" s="1306"/>
      <c r="FS110" s="1306"/>
      <c r="FT110" s="1306"/>
      <c r="FU110" s="1306"/>
      <c r="FV110" s="1306"/>
      <c r="FW110" s="1306"/>
      <c r="FX110" s="1006"/>
    </row>
    <row r="111" s="970" customFormat="1" ht="12" customHeight="1">
      <c r="A111" s="970"/>
      <c r="B111" s="971"/>
      <c r="C111" s="970"/>
      <c r="D111" s="970"/>
      <c r="E111" s="970"/>
      <c r="F111" s="1308"/>
      <c r="G111" s="1264" t="s">
        <v>1940</v>
      </c>
      <c r="H111" s="1264"/>
      <c r="I111" s="1264"/>
      <c r="J111" s="1264"/>
      <c r="K111" s="1264"/>
      <c r="L111" s="1264"/>
      <c r="M111" s="1264"/>
      <c r="N111" s="1264"/>
      <c r="O111" s="1264"/>
      <c r="P111" s="1264"/>
      <c r="Q111" s="1264"/>
      <c r="R111" s="1264"/>
      <c r="S111" s="1264"/>
      <c r="T111" s="1264"/>
      <c r="U111" s="1264"/>
      <c r="V111" s="1264"/>
      <c r="W111" s="1264"/>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264"/>
      <c r="AS111" s="1264"/>
      <c r="AT111" s="1264"/>
      <c r="AU111" s="1264"/>
      <c r="AV111" s="1264"/>
      <c r="AW111" s="1264"/>
      <c r="AX111" s="1264"/>
      <c r="AY111" s="1264"/>
      <c r="AZ111" s="1264"/>
      <c r="BA111" s="1264"/>
      <c r="BB111" s="1264"/>
      <c r="BC111" s="1264"/>
      <c r="BD111" s="1264"/>
      <c r="BE111" s="1264"/>
      <c r="BF111" s="1264"/>
      <c r="BG111" s="1264"/>
      <c r="BH111" s="1264"/>
      <c r="BI111" s="1264"/>
      <c r="BJ111" s="1264"/>
      <c r="BK111" s="1264"/>
      <c r="BL111" s="1264"/>
      <c r="BM111" s="1264"/>
      <c r="BN111" s="1264"/>
      <c r="BO111" s="1264"/>
      <c r="BP111" s="1264"/>
      <c r="BQ111" s="1264"/>
      <c r="BR111" s="1264"/>
      <c r="BS111" s="1264"/>
      <c r="BT111" s="1264"/>
      <c r="BU111" s="1264"/>
      <c r="BV111" s="1264"/>
      <c r="BW111" s="1264"/>
      <c r="BX111" s="1264"/>
      <c r="BY111" s="1264"/>
      <c r="BZ111" s="1264"/>
      <c r="CA111" s="1264"/>
      <c r="CB111" s="1264"/>
      <c r="CC111" s="1264"/>
      <c r="CD111" s="1264"/>
      <c r="CE111" s="1264"/>
      <c r="CF111" s="1264"/>
      <c r="CG111" s="1264"/>
      <c r="CH111" s="1264"/>
      <c r="CI111" s="1264"/>
      <c r="CJ111" s="1264"/>
      <c r="CK111" s="1264"/>
      <c r="CL111" s="1264"/>
      <c r="CM111" s="1264"/>
      <c r="CN111" s="1264"/>
      <c r="CO111" s="1264"/>
      <c r="CP111" s="1264"/>
      <c r="CQ111" s="1264"/>
      <c r="CR111" s="1264"/>
      <c r="CS111" s="1264"/>
      <c r="CT111" s="1264"/>
      <c r="CU111" s="1264"/>
      <c r="CV111" s="1264"/>
      <c r="CW111" s="1264"/>
      <c r="CX111" s="1264"/>
      <c r="CY111" s="1264"/>
      <c r="CZ111" s="1264"/>
      <c r="DA111" s="1264"/>
      <c r="DB111" s="1264"/>
      <c r="DC111" s="1264"/>
      <c r="DD111" s="1264"/>
      <c r="DE111" s="1264"/>
      <c r="DF111" s="1264"/>
      <c r="DG111" s="1264"/>
      <c r="DH111" s="1264"/>
      <c r="DI111" s="1264"/>
      <c r="DJ111" s="1264"/>
      <c r="DK111" s="1264"/>
      <c r="DL111" s="1264"/>
      <c r="DM111" s="1264"/>
      <c r="DN111" s="1264"/>
      <c r="DO111" s="1264"/>
      <c r="DP111" s="1264"/>
      <c r="DQ111" s="1264"/>
      <c r="DR111" s="1264"/>
      <c r="DS111" s="1264"/>
      <c r="DT111" s="1264"/>
      <c r="DU111" s="1264"/>
      <c r="DV111" s="1264"/>
      <c r="DW111" s="1264"/>
      <c r="DX111" s="1264"/>
      <c r="DY111" s="1264"/>
      <c r="DZ111" s="1264"/>
      <c r="EA111" s="1264"/>
      <c r="EB111" s="1264"/>
      <c r="EC111" s="1264"/>
      <c r="ED111" s="1264"/>
      <c r="EE111" s="1264"/>
      <c r="EF111" s="1264"/>
      <c r="EG111" s="1264"/>
      <c r="EH111" s="1264"/>
      <c r="EI111" s="1264"/>
      <c r="EJ111" s="1264"/>
      <c r="EK111" s="1264"/>
      <c r="EL111" s="1264"/>
      <c r="EM111" s="1264"/>
      <c r="EN111" s="1264"/>
      <c r="EO111" s="1264"/>
      <c r="EP111" s="1264"/>
      <c r="EQ111" s="1264"/>
      <c r="ER111" s="1264"/>
      <c r="ES111" s="1264"/>
      <c r="ET111" s="1264"/>
      <c r="EU111" s="1264"/>
      <c r="EV111" s="1264"/>
      <c r="EW111" s="1264"/>
      <c r="EX111" s="1264"/>
      <c r="EY111" s="1264"/>
      <c r="EZ111" s="1264"/>
      <c r="FA111" s="1264"/>
      <c r="FB111" s="1264"/>
      <c r="FC111" s="1264"/>
      <c r="FD111" s="1264"/>
      <c r="FE111" s="1264"/>
      <c r="FF111" s="1264"/>
      <c r="FG111" s="1264"/>
      <c r="FH111" s="1264"/>
      <c r="FI111" s="1264"/>
      <c r="FJ111" s="1264"/>
      <c r="FK111" s="1264"/>
      <c r="FL111" s="1264"/>
      <c r="FM111" s="1264"/>
      <c r="FN111" s="1264"/>
      <c r="FO111" s="1264"/>
      <c r="FP111" s="1264"/>
      <c r="FQ111" s="1264"/>
      <c r="FR111" s="1264"/>
      <c r="FS111" s="1264"/>
      <c r="FT111" s="1264"/>
      <c r="FU111" s="1264"/>
      <c r="FV111" s="1264"/>
      <c r="FW111" s="1309"/>
      <c r="FX111" s="143"/>
      <c r="FY111" s="972"/>
      <c r="FZ111" s="972"/>
      <c r="GA111" s="972"/>
      <c r="GB111" s="972"/>
    </row>
    <row r="113" s="1188" customFormat="1" ht="11.25" customHeight="1">
      <c r="A113" s="1188" t="s">
        <v>1941</v>
      </c>
    </row>
    <row r="115" s="63" customFormat="1" ht="15" customHeight="1">
      <c r="A115" s="840"/>
      <c r="B115" s="63"/>
      <c r="C115" s="63"/>
      <c r="D115" s="225" t="s">
        <v>109</v>
      </c>
      <c r="E115" s="842" t="s">
        <v>105</v>
      </c>
      <c r="F115" s="843"/>
      <c r="G115" s="844"/>
      <c r="H115" s="79" t="str">
        <f>IF(A115="","",INDEX(DIFFERENTIATION_UNMERGE_VD,MATCH(A115,DIFFERENTIATION_ID_DIFF,0)))</f>
        <v/>
      </c>
      <c r="I115" s="79"/>
      <c r="J115" s="79"/>
      <c r="K115" s="79"/>
      <c r="L115" s="79"/>
      <c r="M115" s="79"/>
      <c r="N115" s="79"/>
      <c r="O115" s="79"/>
      <c r="P115" s="79"/>
      <c r="Q115" s="79"/>
      <c r="R115" s="79"/>
      <c r="S115" s="845"/>
      <c r="T115" s="846"/>
      <c r="U115" s="167"/>
      <c r="V115" s="167"/>
      <c r="W115" s="64"/>
      <c r="X115" s="64"/>
      <c r="Y115" s="64"/>
      <c r="Z115" s="64"/>
      <c r="AA115" s="167"/>
      <c r="AB115" s="64"/>
      <c r="AC115" s="847"/>
      <c r="AD115" s="64"/>
      <c r="AE115" s="848" t="s">
        <v>28</v>
      </c>
      <c r="AF115" s="848"/>
      <c r="AG115" s="849" t="s">
        <v>611</v>
      </c>
      <c r="AH115" s="850">
        <v>3</v>
      </c>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c r="BE115" s="167"/>
      <c r="BF115" s="167"/>
      <c r="BG115" s="167"/>
      <c r="BH115" s="167"/>
      <c r="BI115" s="167"/>
      <c r="BJ115" s="167"/>
      <c r="BK115" s="167"/>
      <c r="BL115" s="167"/>
      <c r="BM115" s="167"/>
      <c r="BN115" s="167"/>
      <c r="BO115" s="167"/>
      <c r="BP115" s="167"/>
      <c r="BQ115" s="167"/>
      <c r="BR115" s="167"/>
      <c r="BS115" s="167"/>
      <c r="BT115" s="167"/>
      <c r="BU115" s="167"/>
      <c r="BV115" s="64"/>
      <c r="BW115" s="64"/>
      <c r="BX115" s="64"/>
      <c r="BY115" s="64"/>
      <c r="BZ115" s="64"/>
      <c r="CA115" s="64"/>
      <c r="CB115" s="64"/>
      <c r="CC115" s="64"/>
      <c r="CD115" s="64"/>
      <c r="CE115" s="64"/>
    </row>
    <row r="116" s="63" customFormat="1" ht="15" customHeight="1">
      <c r="A116" s="840"/>
      <c r="B116" s="63"/>
      <c r="C116" s="63"/>
      <c r="D116" s="1310"/>
      <c r="E116" s="842" t="s">
        <v>566</v>
      </c>
      <c r="F116" s="843"/>
      <c r="G116" s="844"/>
      <c r="H116" s="79" t="str">
        <f>IF(A115="","",INDEX(DIFFERENTIATION_UNMERGE_AREA,MATCH(A115,DIFFERENTIATION_ID_DIFF,0)))</f>
        <v/>
      </c>
      <c r="I116" s="79"/>
      <c r="J116" s="79"/>
      <c r="K116" s="79"/>
      <c r="L116" s="79"/>
      <c r="M116" s="79"/>
      <c r="N116" s="79"/>
      <c r="O116" s="79"/>
      <c r="P116" s="79"/>
      <c r="Q116" s="79"/>
      <c r="R116" s="79"/>
      <c r="S116" s="845"/>
      <c r="T116" s="846"/>
      <c r="U116" s="167"/>
      <c r="V116" s="167"/>
      <c r="W116" s="64"/>
      <c r="X116" s="64"/>
      <c r="Y116" s="64"/>
      <c r="Z116" s="64"/>
      <c r="AA116" s="167"/>
      <c r="AB116" s="64"/>
      <c r="AC116" s="847"/>
      <c r="AD116" s="64"/>
      <c r="AE116" s="848"/>
      <c r="AF116" s="848"/>
      <c r="AG116" s="849"/>
      <c r="AH116" s="850"/>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c r="BN116" s="167"/>
      <c r="BO116" s="167"/>
      <c r="BP116" s="167"/>
      <c r="BQ116" s="167"/>
      <c r="BR116" s="167"/>
      <c r="BS116" s="167"/>
      <c r="BT116" s="167"/>
      <c r="BU116" s="167"/>
      <c r="BV116" s="64"/>
      <c r="BW116" s="64"/>
      <c r="BX116" s="64"/>
      <c r="BY116" s="64"/>
      <c r="BZ116" s="64"/>
      <c r="CA116" s="64"/>
      <c r="CB116" s="64"/>
      <c r="CC116" s="64"/>
      <c r="CD116" s="64"/>
      <c r="CE116" s="64"/>
    </row>
    <row r="117" s="63" customFormat="1" ht="15" customHeight="1">
      <c r="A117" s="840"/>
      <c r="B117" s="63"/>
      <c r="C117" s="63"/>
      <c r="D117" s="1310"/>
      <c r="E117" s="842" t="s">
        <v>567</v>
      </c>
      <c r="F117" s="843"/>
      <c r="G117" s="844"/>
      <c r="H117" s="79" t="str">
        <f>IF(A115="","",INDEX(DIFFERENTIATION_UNMERGE_SYSTEM,MATCH(A115,DIFFERENTIATION_ID_DIFF,0)))</f>
        <v/>
      </c>
      <c r="I117" s="79"/>
      <c r="J117" s="79"/>
      <c r="K117" s="79"/>
      <c r="L117" s="79"/>
      <c r="M117" s="79"/>
      <c r="N117" s="79"/>
      <c r="O117" s="79"/>
      <c r="P117" s="79"/>
      <c r="Q117" s="79"/>
      <c r="R117" s="79"/>
      <c r="S117" s="845"/>
      <c r="T117" s="846"/>
      <c r="U117" s="167"/>
      <c r="V117" s="167"/>
      <c r="W117" s="64"/>
      <c r="X117" s="64"/>
      <c r="Y117" s="64"/>
      <c r="Z117" s="64"/>
      <c r="AA117" s="167"/>
      <c r="AB117" s="64"/>
      <c r="AC117" s="847"/>
      <c r="AD117" s="64"/>
      <c r="AE117" s="848"/>
      <c r="AF117" s="848"/>
      <c r="AG117" s="849"/>
      <c r="AH117" s="850"/>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64"/>
      <c r="BW117" s="64"/>
      <c r="BX117" s="64"/>
      <c r="BY117" s="64"/>
      <c r="BZ117" s="64"/>
      <c r="CA117" s="64"/>
      <c r="CB117" s="64"/>
      <c r="CC117" s="64"/>
      <c r="CD117" s="64"/>
      <c r="CE117" s="64"/>
    </row>
    <row r="118" s="63" customFormat="1" ht="24.75" customHeight="1">
      <c r="A118" s="113"/>
      <c r="B118" s="53"/>
      <c r="C118" s="168"/>
      <c r="D118" s="1310"/>
      <c r="E118" s="852" t="s">
        <v>612</v>
      </c>
      <c r="F118" s="852"/>
      <c r="G118" s="852"/>
      <c r="H118" s="852"/>
      <c r="I118" s="852"/>
      <c r="J118" s="852"/>
      <c r="K118" s="852"/>
      <c r="L118" s="852"/>
      <c r="M118" s="852"/>
      <c r="N118" s="852"/>
      <c r="O118" s="852"/>
      <c r="P118" s="852"/>
      <c r="Q118" s="785">
        <f>SUMIF(T119:T120,"i",Q119:Q120)</f>
        <v>0</v>
      </c>
      <c r="R118" s="853"/>
      <c r="S118" s="330" t="s">
        <v>613</v>
      </c>
      <c r="T118" s="846" t="s">
        <v>614</v>
      </c>
      <c r="U118" s="132">
        <v>1</v>
      </c>
      <c r="V118" s="132" t="s">
        <v>577</v>
      </c>
      <c r="W118" s="53"/>
      <c r="X118" s="53"/>
      <c r="Y118" s="53"/>
      <c r="Z118" s="53"/>
      <c r="AA118" s="57"/>
      <c r="AB118" s="53"/>
      <c r="AC118" s="847"/>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2"/>
      <c r="B119" s="57"/>
      <c r="C119" s="57"/>
      <c r="D119" s="1310"/>
      <c r="E119" s="366"/>
      <c r="F119" s="366">
        <v>0</v>
      </c>
      <c r="G119" s="366"/>
      <c r="H119" s="366"/>
      <c r="I119" s="366"/>
      <c r="J119" s="366"/>
      <c r="K119" s="366"/>
      <c r="L119" s="366"/>
      <c r="M119" s="366"/>
      <c r="N119" s="366"/>
      <c r="O119" s="366"/>
      <c r="P119" s="366"/>
      <c r="Q119" s="366"/>
      <c r="R119" s="366"/>
      <c r="S119" s="365"/>
      <c r="T119" s="854"/>
      <c r="U119" s="132"/>
      <c r="V119" s="132"/>
      <c r="W119" s="57"/>
      <c r="X119" s="57"/>
      <c r="Y119" s="57"/>
      <c r="Z119" s="57"/>
      <c r="AA119" s="57"/>
      <c r="AB119" s="53"/>
      <c r="AC119" s="847"/>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3"/>
      <c r="B120" s="53"/>
      <c r="C120" s="168"/>
      <c r="D120" s="1310"/>
      <c r="E120" s="652" t="s">
        <v>28</v>
      </c>
      <c r="F120" s="172" t="s">
        <v>28</v>
      </c>
      <c r="G120" s="172" t="s">
        <v>1942</v>
      </c>
      <c r="H120" s="177" t="s">
        <v>28</v>
      </c>
      <c r="I120" s="177"/>
      <c r="J120" s="177"/>
      <c r="K120" s="177"/>
      <c r="L120" s="177"/>
      <c r="M120" s="177"/>
      <c r="N120" s="177"/>
      <c r="O120" s="177"/>
      <c r="P120" s="177"/>
      <c r="Q120" s="177"/>
      <c r="R120" s="229"/>
      <c r="S120" s="1311"/>
      <c r="T120" s="854"/>
      <c r="U120" s="132"/>
      <c r="V120" s="132"/>
      <c r="W120" s="53"/>
      <c r="X120" s="53"/>
      <c r="Y120" s="53"/>
      <c r="Z120" s="53"/>
      <c r="AA120" s="57"/>
      <c r="AB120" s="53"/>
      <c r="AC120" s="847"/>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3"/>
      <c r="B121" s="53"/>
      <c r="C121" s="168"/>
      <c r="D121" s="1310"/>
      <c r="E121" s="852" t="s">
        <v>615</v>
      </c>
      <c r="F121" s="852"/>
      <c r="G121" s="852"/>
      <c r="H121" s="852"/>
      <c r="I121" s="852"/>
      <c r="J121" s="852"/>
      <c r="K121" s="852"/>
      <c r="L121" s="852"/>
      <c r="M121" s="852"/>
      <c r="N121" s="852"/>
      <c r="O121" s="852"/>
      <c r="P121" s="852"/>
      <c r="Q121" s="785">
        <f>SUMIF(T122:T123,"i",Q122:Q123)</f>
        <v>0</v>
      </c>
      <c r="R121" s="853"/>
      <c r="S121" s="330" t="s">
        <v>616</v>
      </c>
      <c r="T121" s="846" t="s">
        <v>614</v>
      </c>
      <c r="U121" s="132">
        <v>1</v>
      </c>
      <c r="V121" s="132" t="s">
        <v>577</v>
      </c>
      <c r="W121" s="53"/>
      <c r="X121" s="53"/>
      <c r="Y121" s="53"/>
      <c r="Z121" s="53"/>
      <c r="AA121" s="57"/>
      <c r="AB121" s="53"/>
      <c r="AC121" s="847"/>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2"/>
      <c r="B122" s="57"/>
      <c r="C122" s="57"/>
      <c r="D122" s="1310"/>
      <c r="E122" s="366"/>
      <c r="F122" s="366">
        <v>0</v>
      </c>
      <c r="G122" s="366"/>
      <c r="H122" s="366"/>
      <c r="I122" s="366"/>
      <c r="J122" s="366"/>
      <c r="K122" s="366"/>
      <c r="L122" s="366"/>
      <c r="M122" s="366"/>
      <c r="N122" s="366"/>
      <c r="O122" s="366"/>
      <c r="P122" s="366"/>
      <c r="Q122" s="366"/>
      <c r="R122" s="366"/>
      <c r="S122" s="365"/>
      <c r="T122" s="854"/>
      <c r="U122" s="132"/>
      <c r="V122" s="132"/>
      <c r="W122" s="57"/>
      <c r="X122" s="57"/>
      <c r="Y122" s="57"/>
      <c r="Z122" s="57"/>
      <c r="AA122" s="57"/>
      <c r="AB122" s="53"/>
      <c r="AC122" s="847"/>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3"/>
      <c r="B123" s="53"/>
      <c r="C123" s="168"/>
      <c r="D123" s="1312"/>
      <c r="E123" s="652" t="s">
        <v>28</v>
      </c>
      <c r="F123" s="172" t="s">
        <v>28</v>
      </c>
      <c r="G123" s="172" t="s">
        <v>1942</v>
      </c>
      <c r="H123" s="177" t="s">
        <v>28</v>
      </c>
      <c r="I123" s="177"/>
      <c r="J123" s="177"/>
      <c r="K123" s="177"/>
      <c r="L123" s="177"/>
      <c r="M123" s="177"/>
      <c r="N123" s="177"/>
      <c r="O123" s="177"/>
      <c r="P123" s="177"/>
      <c r="Q123" s="177"/>
      <c r="R123" s="229"/>
      <c r="S123" s="1311"/>
      <c r="T123" s="854"/>
      <c r="U123" s="132"/>
      <c r="V123" s="132"/>
      <c r="W123" s="53"/>
      <c r="X123" s="53"/>
      <c r="Y123" s="53"/>
      <c r="Z123" s="53"/>
      <c r="AA123" s="57"/>
      <c r="AB123" s="53"/>
      <c r="AC123" s="847"/>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88" customFormat="1" ht="11.25" customHeight="1">
      <c r="A125" s="1188" t="s">
        <v>1943</v>
      </c>
    </row>
    <row r="127" s="63" customFormat="1" ht="15" customHeight="1">
      <c r="A127" s="840"/>
      <c r="B127" s="63"/>
      <c r="C127" s="63"/>
      <c r="D127" s="225" t="s">
        <v>109</v>
      </c>
      <c r="E127" s="842" t="s">
        <v>105</v>
      </c>
      <c r="F127" s="843"/>
      <c r="G127" s="844"/>
      <c r="H127" s="79" t="str">
        <f>IF(A127="","",INDEX(DIFFERENTIATION_UNMERGE_VD,MATCH(A127,DIFFERENTIATION_ID_DIFF,0)))</f>
        <v/>
      </c>
      <c r="I127" s="79"/>
      <c r="J127" s="79"/>
      <c r="K127" s="79"/>
      <c r="L127" s="79"/>
      <c r="M127" s="79"/>
      <c r="N127" s="79"/>
      <c r="O127" s="79"/>
      <c r="P127" s="79"/>
      <c r="Q127" s="79"/>
      <c r="R127" s="79"/>
      <c r="S127" s="845"/>
      <c r="T127" s="846"/>
      <c r="U127" s="167"/>
      <c r="V127" s="167"/>
      <c r="W127" s="64"/>
      <c r="X127" s="64"/>
      <c r="Y127" s="64"/>
      <c r="Z127" s="64"/>
      <c r="AA127" s="167"/>
      <c r="AB127" s="64"/>
      <c r="AC127" s="847"/>
      <c r="AD127" s="64"/>
      <c r="AE127" s="848" t="s">
        <v>28</v>
      </c>
      <c r="AF127" s="848"/>
      <c r="AG127" s="849" t="s">
        <v>611</v>
      </c>
      <c r="AH127" s="850">
        <v>3</v>
      </c>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c r="BE127" s="167"/>
      <c r="BF127" s="167"/>
      <c r="BG127" s="167"/>
      <c r="BH127" s="167"/>
      <c r="BI127" s="167"/>
      <c r="BJ127" s="167"/>
      <c r="BK127" s="167"/>
      <c r="BL127" s="167"/>
      <c r="BM127" s="167"/>
      <c r="BN127" s="167"/>
      <c r="BO127" s="167"/>
      <c r="BP127" s="167"/>
      <c r="BQ127" s="167"/>
      <c r="BR127" s="167"/>
      <c r="BS127" s="167"/>
      <c r="BT127" s="167"/>
      <c r="BU127" s="167"/>
      <c r="BV127" s="64"/>
      <c r="BW127" s="64"/>
      <c r="BX127" s="64"/>
      <c r="BY127" s="64"/>
      <c r="BZ127" s="64"/>
      <c r="CA127" s="64"/>
      <c r="CB127" s="64"/>
      <c r="CC127" s="64"/>
      <c r="CD127" s="64"/>
      <c r="CE127" s="64"/>
    </row>
    <row r="128" s="63" customFormat="1" ht="15" customHeight="1">
      <c r="A128" s="840"/>
      <c r="B128" s="63"/>
      <c r="C128" s="63"/>
      <c r="D128" s="1310"/>
      <c r="E128" s="842" t="s">
        <v>566</v>
      </c>
      <c r="F128" s="843"/>
      <c r="G128" s="844"/>
      <c r="H128" s="79" t="str">
        <f>IF(A127="","",INDEX(DIFFERENTIATION_UNMERGE_AREA,MATCH(A127,DIFFERENTIATION_ID_DIFF,0)))</f>
        <v/>
      </c>
      <c r="I128" s="79"/>
      <c r="J128" s="79"/>
      <c r="K128" s="79"/>
      <c r="L128" s="79"/>
      <c r="M128" s="79"/>
      <c r="N128" s="79"/>
      <c r="O128" s="79"/>
      <c r="P128" s="79"/>
      <c r="Q128" s="79"/>
      <c r="R128" s="79"/>
      <c r="S128" s="845"/>
      <c r="T128" s="846"/>
      <c r="U128" s="167"/>
      <c r="V128" s="167"/>
      <c r="W128" s="64"/>
      <c r="X128" s="64"/>
      <c r="Y128" s="64"/>
      <c r="Z128" s="64"/>
      <c r="AA128" s="167"/>
      <c r="AB128" s="64"/>
      <c r="AC128" s="847"/>
      <c r="AD128" s="64"/>
      <c r="AE128" s="848"/>
      <c r="AF128" s="848"/>
      <c r="AG128" s="849"/>
      <c r="AH128" s="850"/>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c r="BE128" s="167"/>
      <c r="BF128" s="167"/>
      <c r="BG128" s="167"/>
      <c r="BH128" s="167"/>
      <c r="BI128" s="167"/>
      <c r="BJ128" s="167"/>
      <c r="BK128" s="167"/>
      <c r="BL128" s="167"/>
      <c r="BM128" s="167"/>
      <c r="BN128" s="167"/>
      <c r="BO128" s="167"/>
      <c r="BP128" s="167"/>
      <c r="BQ128" s="167"/>
      <c r="BR128" s="167"/>
      <c r="BS128" s="167"/>
      <c r="BT128" s="167"/>
      <c r="BU128" s="167"/>
      <c r="BV128" s="64"/>
      <c r="BW128" s="64"/>
      <c r="BX128" s="64"/>
      <c r="BY128" s="64"/>
      <c r="BZ128" s="64"/>
      <c r="CA128" s="64"/>
      <c r="CB128" s="64"/>
      <c r="CC128" s="64"/>
      <c r="CD128" s="64"/>
      <c r="CE128" s="64"/>
    </row>
    <row r="129" s="63" customFormat="1" ht="15" customHeight="1">
      <c r="A129" s="840"/>
      <c r="B129" s="63"/>
      <c r="C129" s="63"/>
      <c r="D129" s="1310"/>
      <c r="E129" s="842" t="s">
        <v>567</v>
      </c>
      <c r="F129" s="843"/>
      <c r="G129" s="844"/>
      <c r="H129" s="79" t="str">
        <f>IF(A127="","",INDEX(DIFFERENTIATION_UNMERGE_SYSTEM,MATCH(A127,DIFFERENTIATION_ID_DIFF,0)))</f>
        <v/>
      </c>
      <c r="I129" s="79"/>
      <c r="J129" s="79"/>
      <c r="K129" s="79"/>
      <c r="L129" s="79"/>
      <c r="M129" s="79"/>
      <c r="N129" s="79"/>
      <c r="O129" s="79"/>
      <c r="P129" s="79"/>
      <c r="Q129" s="79"/>
      <c r="R129" s="79"/>
      <c r="S129" s="845"/>
      <c r="T129" s="846"/>
      <c r="U129" s="167"/>
      <c r="V129" s="167"/>
      <c r="W129" s="64"/>
      <c r="X129" s="64"/>
      <c r="Y129" s="64"/>
      <c r="Z129" s="64"/>
      <c r="AA129" s="167"/>
      <c r="AB129" s="64"/>
      <c r="AC129" s="847"/>
      <c r="AD129" s="64"/>
      <c r="AE129" s="848"/>
      <c r="AF129" s="848"/>
      <c r="AG129" s="849"/>
      <c r="AH129" s="850"/>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c r="BE129" s="167"/>
      <c r="BF129" s="167"/>
      <c r="BG129" s="167"/>
      <c r="BH129" s="167"/>
      <c r="BI129" s="167"/>
      <c r="BJ129" s="167"/>
      <c r="BK129" s="167"/>
      <c r="BL129" s="167"/>
      <c r="BM129" s="167"/>
      <c r="BN129" s="167"/>
      <c r="BO129" s="167"/>
      <c r="BP129" s="167"/>
      <c r="BQ129" s="167"/>
      <c r="BR129" s="167"/>
      <c r="BS129" s="167"/>
      <c r="BT129" s="167"/>
      <c r="BU129" s="167"/>
      <c r="BV129" s="64"/>
      <c r="BW129" s="64"/>
      <c r="BX129" s="64"/>
      <c r="BY129" s="64"/>
      <c r="BZ129" s="64"/>
      <c r="CA129" s="64"/>
      <c r="CB129" s="64"/>
      <c r="CC129" s="64"/>
      <c r="CD129" s="64"/>
      <c r="CE129" s="64"/>
    </row>
    <row r="130" s="63" customFormat="1" ht="24.75" customHeight="1">
      <c r="A130" s="113"/>
      <c r="B130" s="53"/>
      <c r="C130" s="168"/>
      <c r="D130" s="1310"/>
      <c r="E130" s="852" t="s">
        <v>612</v>
      </c>
      <c r="F130" s="852"/>
      <c r="G130" s="852"/>
      <c r="H130" s="852"/>
      <c r="I130" s="852"/>
      <c r="J130" s="852"/>
      <c r="K130" s="852"/>
      <c r="L130" s="852"/>
      <c r="M130" s="852"/>
      <c r="N130" s="852"/>
      <c r="O130" s="852"/>
      <c r="P130" s="852"/>
      <c r="Q130" s="785">
        <f>SUMIF(T131:T132,"i",Q131:Q132)</f>
        <v>0</v>
      </c>
      <c r="R130" s="853"/>
      <c r="S130" s="330" t="s">
        <v>613</v>
      </c>
      <c r="T130" s="846" t="s">
        <v>614</v>
      </c>
      <c r="U130" s="132">
        <v>1</v>
      </c>
      <c r="V130" s="132" t="s">
        <v>577</v>
      </c>
      <c r="W130" s="53"/>
      <c r="X130" s="53"/>
      <c r="Y130" s="53"/>
      <c r="Z130" s="53"/>
      <c r="AA130" s="57"/>
      <c r="AB130" s="53"/>
      <c r="AC130" s="847"/>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2"/>
      <c r="B131" s="57"/>
      <c r="C131" s="57"/>
      <c r="D131" s="1310"/>
      <c r="E131" s="366"/>
      <c r="F131" s="366">
        <v>0</v>
      </c>
      <c r="G131" s="366"/>
      <c r="H131" s="366"/>
      <c r="I131" s="366"/>
      <c r="J131" s="366"/>
      <c r="K131" s="366"/>
      <c r="L131" s="366"/>
      <c r="M131" s="366"/>
      <c r="N131" s="366"/>
      <c r="O131" s="366"/>
      <c r="P131" s="366"/>
      <c r="Q131" s="366"/>
      <c r="R131" s="366"/>
      <c r="S131" s="365"/>
      <c r="T131" s="854"/>
      <c r="U131" s="132"/>
      <c r="V131" s="132"/>
      <c r="W131" s="57"/>
      <c r="X131" s="57"/>
      <c r="Y131" s="57"/>
      <c r="Z131" s="57"/>
      <c r="AA131" s="57"/>
      <c r="AB131" s="53"/>
      <c r="AC131" s="847"/>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3"/>
      <c r="B132" s="53"/>
      <c r="C132" s="168"/>
      <c r="D132" s="1310"/>
      <c r="E132" s="652" t="s">
        <v>28</v>
      </c>
      <c r="F132" s="172" t="s">
        <v>28</v>
      </c>
      <c r="G132" s="172" t="s">
        <v>1942</v>
      </c>
      <c r="H132" s="177" t="s">
        <v>28</v>
      </c>
      <c r="I132" s="177"/>
      <c r="J132" s="177"/>
      <c r="K132" s="177"/>
      <c r="L132" s="177"/>
      <c r="M132" s="177"/>
      <c r="N132" s="177"/>
      <c r="O132" s="177"/>
      <c r="P132" s="177"/>
      <c r="Q132" s="177"/>
      <c r="R132" s="229"/>
      <c r="S132" s="1311"/>
      <c r="T132" s="854"/>
      <c r="U132" s="132"/>
      <c r="V132" s="132"/>
      <c r="W132" s="53"/>
      <c r="X132" s="53"/>
      <c r="Y132" s="53"/>
      <c r="Z132" s="53"/>
      <c r="AA132" s="57"/>
      <c r="AB132" s="53"/>
      <c r="AC132" s="847"/>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7" customFormat="1" ht="5.25" hidden="1" customHeight="1">
      <c r="A133" s="132"/>
      <c r="B133" s="57"/>
      <c r="C133" s="57"/>
      <c r="D133" s="1310"/>
      <c r="E133" s="1313"/>
      <c r="F133" s="1313"/>
      <c r="G133" s="1313"/>
      <c r="H133" s="1313"/>
      <c r="I133" s="1313"/>
      <c r="J133" s="1313"/>
      <c r="K133" s="1313"/>
      <c r="L133" s="1313"/>
      <c r="M133" s="1313"/>
      <c r="N133" s="1313"/>
      <c r="O133" s="1313"/>
      <c r="P133" s="1313"/>
      <c r="Q133" s="665"/>
      <c r="R133" s="1314"/>
      <c r="S133" s="366"/>
      <c r="T133" s="846" t="s">
        <v>614</v>
      </c>
      <c r="U133" s="132">
        <v>1</v>
      </c>
      <c r="V133" s="132" t="s">
        <v>577</v>
      </c>
      <c r="W133" s="57"/>
      <c r="X133" s="57"/>
      <c r="Y133" s="57"/>
      <c r="Z133" s="57"/>
      <c r="AA133" s="57"/>
      <c r="AB133" s="57"/>
      <c r="AC133" s="1315"/>
      <c r="AD133" s="16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7" customFormat="1" ht="5.25" hidden="1" customHeight="1">
      <c r="A134" s="132"/>
      <c r="B134" s="57"/>
      <c r="C134" s="57"/>
      <c r="D134" s="1310"/>
      <c r="E134" s="366"/>
      <c r="F134" s="366"/>
      <c r="G134" s="366"/>
      <c r="H134" s="366"/>
      <c r="I134" s="366"/>
      <c r="J134" s="366"/>
      <c r="K134" s="366"/>
      <c r="L134" s="366"/>
      <c r="M134" s="366"/>
      <c r="N134" s="366"/>
      <c r="O134" s="366"/>
      <c r="P134" s="366"/>
      <c r="Q134" s="366"/>
      <c r="R134" s="366"/>
      <c r="S134" s="365"/>
      <c r="T134" s="854"/>
      <c r="U134" s="132"/>
      <c r="V134" s="132"/>
      <c r="W134" s="57"/>
      <c r="X134" s="57"/>
      <c r="Y134" s="57"/>
      <c r="Z134" s="57"/>
      <c r="AA134" s="57"/>
      <c r="AB134" s="57"/>
      <c r="AC134" s="1315"/>
      <c r="AD134" s="16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7" customFormat="1" ht="5.25" hidden="1" customHeight="1">
      <c r="A135" s="132"/>
      <c r="B135" s="57"/>
      <c r="C135" s="57"/>
      <c r="D135" s="1312"/>
      <c r="E135" s="1316"/>
      <c r="F135" s="1317"/>
      <c r="G135" s="1317"/>
      <c r="H135" s="1318"/>
      <c r="I135" s="1318"/>
      <c r="J135" s="1318"/>
      <c r="K135" s="1318"/>
      <c r="L135" s="1318"/>
      <c r="M135" s="1318"/>
      <c r="N135" s="1318"/>
      <c r="O135" s="1318"/>
      <c r="P135" s="1318"/>
      <c r="Q135" s="1318"/>
      <c r="R135" s="1319"/>
      <c r="S135" s="1320"/>
      <c r="T135" s="854"/>
      <c r="U135" s="132"/>
      <c r="V135" s="132"/>
      <c r="W135" s="57"/>
      <c r="X135" s="57"/>
      <c r="Y135" s="57"/>
      <c r="Z135" s="57"/>
      <c r="AA135" s="57"/>
      <c r="AB135" s="57"/>
      <c r="AC135" s="1315"/>
      <c r="AD135" s="16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321"/>
    </row>
    <row r="137" s="1188" customFormat="1" ht="11.25" customHeight="1">
      <c r="A137" s="1188" t="s">
        <v>1944</v>
      </c>
    </row>
    <row r="139" s="63" customFormat="1" ht="45" customHeight="1">
      <c r="A139" s="113"/>
      <c r="B139" s="53"/>
      <c r="C139" s="168"/>
      <c r="D139" s="63"/>
      <c r="E139" s="1322"/>
      <c r="F139" s="218" t="s">
        <v>109</v>
      </c>
      <c r="G139" s="1323" t="s">
        <v>28</v>
      </c>
      <c r="H139" s="499"/>
      <c r="I139" s="1324" t="s">
        <v>109</v>
      </c>
      <c r="J139" s="887" t="s">
        <v>1945</v>
      </c>
      <c r="K139" s="251" t="s">
        <v>548</v>
      </c>
      <c r="L139" s="432" t="s">
        <v>548</v>
      </c>
      <c r="M139" s="246"/>
      <c r="N139" s="251" t="s">
        <v>548</v>
      </c>
      <c r="O139" s="251" t="s">
        <v>548</v>
      </c>
      <c r="P139" s="251" t="s">
        <v>548</v>
      </c>
      <c r="Q139" s="965">
        <f>SUM(Q140:Q142)</f>
        <v>0</v>
      </c>
      <c r="R139" s="965">
        <f>IF(R136=0,0,(Q136/R136)*100)</f>
        <v>0</v>
      </c>
      <c r="S139" s="330"/>
      <c r="T139" s="846" t="s">
        <v>614</v>
      </c>
      <c r="U139" s="63"/>
      <c r="V139" s="63"/>
      <c r="AC139" s="63"/>
    </row>
    <row r="140" s="63" customFormat="1" ht="11.25" customHeight="1">
      <c r="A140" s="113"/>
      <c r="B140" s="53"/>
      <c r="C140" s="168"/>
      <c r="D140" s="63"/>
      <c r="E140" s="1225"/>
      <c r="F140" s="218"/>
      <c r="G140" s="1323"/>
      <c r="H140" s="157"/>
      <c r="I140" s="993" t="s">
        <v>1023</v>
      </c>
      <c r="J140" s="1024"/>
      <c r="K140" s="1325"/>
      <c r="L140" s="1017"/>
      <c r="M140" s="1326" t="s">
        <v>109</v>
      </c>
      <c r="N140" s="372"/>
      <c r="O140" s="447"/>
      <c r="P140" s="527"/>
      <c r="Q140" s="447"/>
      <c r="R140" s="547">
        <v>0</v>
      </c>
      <c r="S140" s="330"/>
      <c r="T140" s="846"/>
      <c r="U140" s="63"/>
      <c r="V140" s="63"/>
      <c r="AC140" s="63"/>
    </row>
    <row r="141" s="63" customFormat="1" ht="11.25" customHeight="1">
      <c r="A141" s="113"/>
      <c r="B141" s="53"/>
      <c r="C141" s="168"/>
      <c r="D141" s="63"/>
      <c r="E141" s="1225"/>
      <c r="F141" s="218"/>
      <c r="G141" s="1323"/>
      <c r="H141" s="157"/>
      <c r="I141" s="993"/>
      <c r="J141" s="1024"/>
      <c r="K141" s="372"/>
      <c r="L141" s="1327"/>
      <c r="M141" s="1328"/>
      <c r="N141" s="177" t="s">
        <v>1946</v>
      </c>
      <c r="O141" s="177"/>
      <c r="P141" s="177"/>
      <c r="Q141" s="177"/>
      <c r="R141" s="229"/>
      <c r="S141" s="330"/>
      <c r="T141" s="846"/>
      <c r="U141" s="63"/>
      <c r="V141" s="63"/>
      <c r="AC141" s="63"/>
    </row>
    <row r="142" s="63" customFormat="1" ht="11.25" customHeight="1">
      <c r="A142" s="113"/>
      <c r="B142" s="53"/>
      <c r="C142" s="168"/>
      <c r="D142" s="63"/>
      <c r="E142" s="1329"/>
      <c r="F142" s="218"/>
      <c r="G142" s="95"/>
      <c r="H142" s="1327" t="s">
        <v>28</v>
      </c>
      <c r="I142" s="1328"/>
      <c r="J142" s="177" t="s">
        <v>1947</v>
      </c>
      <c r="K142" s="177"/>
      <c r="L142" s="177"/>
      <c r="M142" s="177"/>
      <c r="N142" s="177"/>
      <c r="O142" s="177"/>
      <c r="P142" s="177"/>
      <c r="Q142" s="177"/>
      <c r="R142" s="229"/>
      <c r="S142" s="330"/>
      <c r="T142" s="846"/>
      <c r="U142" s="63"/>
      <c r="V142" s="63"/>
      <c r="AC142" s="63"/>
    </row>
    <row r="147" s="63" customFormat="1" ht="11.25" customHeight="1">
      <c r="A147" s="113"/>
      <c r="B147" s="53"/>
      <c r="C147" s="168"/>
      <c r="D147" s="63"/>
      <c r="E147" s="1268"/>
      <c r="F147" s="1268"/>
      <c r="G147" s="1268"/>
      <c r="H147" s="157"/>
      <c r="I147" s="993" t="s">
        <v>1023</v>
      </c>
      <c r="J147" s="1024"/>
      <c r="K147" s="1325"/>
      <c r="L147" s="1017"/>
      <c r="M147" s="1326" t="s">
        <v>109</v>
      </c>
      <c r="N147" s="372"/>
      <c r="O147" s="447"/>
      <c r="P147" s="527"/>
      <c r="Q147" s="447"/>
      <c r="R147" s="547">
        <v>0</v>
      </c>
      <c r="S147" s="63"/>
      <c r="T147" s="846"/>
      <c r="U147" s="63"/>
      <c r="V147" s="63"/>
      <c r="AC147" s="63"/>
    </row>
    <row r="148" s="63" customFormat="1" ht="11.25" customHeight="1">
      <c r="A148" s="113"/>
      <c r="B148" s="53"/>
      <c r="C148" s="168"/>
      <c r="D148" s="63"/>
      <c r="E148" s="1268"/>
      <c r="F148" s="1268"/>
      <c r="G148" s="1268"/>
      <c r="H148" s="157"/>
      <c r="I148" s="993"/>
      <c r="J148" s="1024"/>
      <c r="K148" s="372"/>
      <c r="L148" s="1327"/>
      <c r="M148" s="1328"/>
      <c r="N148" s="177" t="s">
        <v>1946</v>
      </c>
      <c r="O148" s="177"/>
      <c r="P148" s="177"/>
      <c r="Q148" s="177"/>
      <c r="R148" s="229"/>
      <c r="S148" s="63"/>
      <c r="T148" s="846"/>
      <c r="U148" s="63"/>
      <c r="V148" s="63"/>
      <c r="AC148" s="63"/>
    </row>
    <row r="150" s="63" customFormat="1" ht="11.25" customHeight="1">
      <c r="A150" s="113"/>
      <c r="B150" s="53"/>
      <c r="C150" s="168"/>
      <c r="D150" s="63"/>
      <c r="E150" s="1330"/>
      <c r="F150" s="63"/>
      <c r="G150" s="63"/>
      <c r="H150" s="1331"/>
      <c r="I150" s="1268"/>
      <c r="J150" s="1270"/>
      <c r="K150" s="1270"/>
      <c r="L150" s="1017"/>
      <c r="M150" s="1326" t="s">
        <v>109</v>
      </c>
      <c r="N150" s="372"/>
      <c r="O150" s="447"/>
      <c r="P150" s="527"/>
      <c r="Q150" s="447"/>
      <c r="R150" s="547">
        <v>0</v>
      </c>
      <c r="S150" s="63"/>
      <c r="T150" s="846"/>
      <c r="U150" s="63"/>
      <c r="V150" s="63"/>
      <c r="AC150" s="63"/>
    </row>
    <row r="152" s="1188" customFormat="1" ht="17.25" customHeight="1">
      <c r="A152" s="1188" t="s">
        <v>1948</v>
      </c>
    </row>
    <row r="153" ht="17.25" customHeight="1">
      <c r="G153" s="273"/>
      <c r="H153" s="273"/>
      <c r="I153" s="273"/>
      <c r="M153" s="63"/>
    </row>
    <row r="154" s="184" customFormat="1" ht="17.25" customHeight="1">
      <c r="A154" s="253"/>
      <c r="C154" s="128"/>
      <c r="D154" s="250"/>
      <c r="E154" s="255"/>
      <c r="F154" s="256"/>
      <c r="G154" s="294"/>
      <c r="H154" s="250"/>
      <c r="I154" s="250">
        <v>1</v>
      </c>
      <c r="J154" s="295"/>
      <c r="K154" s="296" t="s">
        <v>66</v>
      </c>
      <c r="L154" s="218"/>
      <c r="M154" s="218" t="s">
        <v>109</v>
      </c>
      <c r="N154" s="1332" t="str">
        <f>IF(Z154="","",INDEX(TERRITORY_MR_LIST,MATCH(Z154,TERRITORY_LIST_ID,0)))</f>
        <v/>
      </c>
      <c r="O154" s="296" t="s">
        <v>66</v>
      </c>
      <c r="P154" s="218"/>
      <c r="Q154" s="218" t="s">
        <v>109</v>
      </c>
      <c r="R154" s="372" t="s">
        <v>28</v>
      </c>
      <c r="S154" s="224" t="s">
        <v>66</v>
      </c>
      <c r="T154" s="218"/>
      <c r="U154" s="218" t="s">
        <v>109</v>
      </c>
      <c r="V154" s="372" t="s">
        <v>28</v>
      </c>
      <c r="W154" s="295"/>
      <c r="Y154" s="264"/>
      <c r="Z154" s="264"/>
      <c r="AA154" s="264"/>
      <c r="AB154" s="264"/>
      <c r="AC154" s="264"/>
      <c r="AD154" s="264"/>
      <c r="AE154" s="264"/>
      <c r="AF154" s="264"/>
      <c r="AG154" s="264"/>
      <c r="AH154" s="264"/>
      <c r="AI154" s="264"/>
      <c r="AJ154" s="264"/>
      <c r="AK154" s="264"/>
      <c r="AL154" s="62"/>
      <c r="AM154" s="62"/>
      <c r="AN154" s="264"/>
      <c r="AO154" s="264"/>
      <c r="AP154" s="264"/>
      <c r="AQ154" s="264"/>
    </row>
    <row r="155" s="184" customFormat="1" ht="17.25" customHeight="1">
      <c r="A155" s="253"/>
      <c r="C155" s="184"/>
      <c r="D155" s="250"/>
      <c r="E155" s="255"/>
      <c r="F155" s="265"/>
      <c r="G155" s="294"/>
      <c r="H155" s="250"/>
      <c r="I155" s="250"/>
      <c r="J155" s="295"/>
      <c r="K155" s="301"/>
      <c r="L155" s="218"/>
      <c r="M155" s="218"/>
      <c r="N155" s="1332"/>
      <c r="O155" s="301"/>
      <c r="P155" s="218"/>
      <c r="Q155" s="218"/>
      <c r="R155" s="372"/>
      <c r="S155" s="224"/>
      <c r="T155" s="306"/>
      <c r="U155" s="307"/>
      <c r="V155" s="307" t="s">
        <v>416</v>
      </c>
      <c r="W155" s="310"/>
      <c r="Y155" s="106"/>
      <c r="Z155" s="106"/>
      <c r="AA155" s="106"/>
      <c r="AB155" s="106"/>
      <c r="AC155" s="106"/>
      <c r="AD155" s="106"/>
      <c r="AE155" s="106"/>
      <c r="AF155" s="106"/>
      <c r="AG155" s="106"/>
      <c r="AH155" s="106"/>
      <c r="AI155" s="106"/>
      <c r="AJ155" s="106"/>
      <c r="AK155" s="106"/>
    </row>
    <row r="156" s="184" customFormat="1" ht="17.25" customHeight="1">
      <c r="A156" s="253"/>
      <c r="C156" s="184"/>
      <c r="D156" s="274"/>
      <c r="E156" s="275"/>
      <c r="F156" s="265"/>
      <c r="G156" s="304"/>
      <c r="H156" s="274"/>
      <c r="I156" s="274"/>
      <c r="J156" s="305"/>
      <c r="K156" s="301"/>
      <c r="L156" s="274"/>
      <c r="M156" s="274"/>
      <c r="N156" s="1333"/>
      <c r="O156" s="220"/>
      <c r="P156" s="306"/>
      <c r="Q156" s="307"/>
      <c r="R156" s="307" t="s">
        <v>238</v>
      </c>
      <c r="S156" s="308"/>
      <c r="T156" s="308"/>
      <c r="U156" s="308"/>
      <c r="V156" s="308"/>
      <c r="W156" s="310"/>
      <c r="Y156" s="106"/>
      <c r="Z156" s="106"/>
      <c r="AA156" s="106"/>
      <c r="AB156" s="106"/>
      <c r="AC156" s="106"/>
      <c r="AD156" s="106"/>
      <c r="AE156" s="106"/>
      <c r="AF156" s="106"/>
      <c r="AG156" s="106"/>
      <c r="AH156" s="106"/>
      <c r="AI156" s="106"/>
      <c r="AJ156" s="106"/>
      <c r="AK156" s="106"/>
    </row>
    <row r="157" s="184" customFormat="1" ht="17.25" customHeight="1">
      <c r="A157" s="253"/>
      <c r="C157" s="184"/>
      <c r="D157" s="274"/>
      <c r="E157" s="275"/>
      <c r="F157" s="265"/>
      <c r="G157" s="304"/>
      <c r="H157" s="274"/>
      <c r="I157" s="274"/>
      <c r="J157" s="305"/>
      <c r="K157" s="220"/>
      <c r="L157" s="306"/>
      <c r="M157" s="307"/>
      <c r="N157" s="307" t="s">
        <v>239</v>
      </c>
      <c r="O157" s="307"/>
      <c r="P157" s="307"/>
      <c r="Q157" s="307"/>
      <c r="R157" s="307"/>
      <c r="S157" s="308"/>
      <c r="T157" s="308"/>
      <c r="U157" s="308"/>
      <c r="V157" s="308"/>
      <c r="W157" s="310"/>
      <c r="Y157" s="106"/>
      <c r="Z157" s="106"/>
      <c r="AA157" s="106"/>
      <c r="AB157" s="106"/>
      <c r="AC157" s="106"/>
      <c r="AD157" s="106"/>
      <c r="AE157" s="106"/>
      <c r="AF157" s="106"/>
      <c r="AG157" s="106"/>
      <c r="AH157" s="106"/>
      <c r="AI157" s="106"/>
      <c r="AJ157" s="106"/>
      <c r="AK157" s="106"/>
    </row>
    <row r="158" s="184" customFormat="1" ht="17.25" customHeight="1">
      <c r="A158" s="253"/>
      <c r="C158" s="184"/>
      <c r="D158" s="274"/>
      <c r="E158" s="275"/>
      <c r="F158" s="276"/>
      <c r="G158" s="304"/>
      <c r="H158" s="306"/>
      <c r="I158" s="307"/>
      <c r="J158" s="307" t="s">
        <v>240</v>
      </c>
      <c r="K158" s="307"/>
      <c r="L158" s="307"/>
      <c r="M158" s="307"/>
      <c r="N158" s="307"/>
      <c r="O158" s="307"/>
      <c r="P158" s="307"/>
      <c r="Q158" s="307"/>
      <c r="R158" s="307"/>
      <c r="S158" s="308"/>
      <c r="T158" s="308"/>
      <c r="U158" s="308"/>
      <c r="V158" s="308"/>
      <c r="W158" s="310"/>
      <c r="Y158" s="106"/>
      <c r="Z158" s="106"/>
      <c r="AA158" s="106"/>
      <c r="AB158" s="106"/>
      <c r="AC158" s="106"/>
      <c r="AD158" s="106"/>
      <c r="AE158" s="106"/>
      <c r="AF158" s="106"/>
      <c r="AG158" s="106"/>
      <c r="AH158" s="106"/>
      <c r="AI158" s="106"/>
      <c r="AJ158" s="106"/>
      <c r="AK158" s="106"/>
    </row>
    <row r="159" ht="17.25" customHeight="1">
      <c r="G159" s="273"/>
      <c r="H159" s="273"/>
      <c r="I159" s="273"/>
      <c r="M159" s="63"/>
    </row>
    <row r="160" s="184" customFormat="1" ht="17.25" customHeight="1">
      <c r="A160" s="253"/>
      <c r="C160" s="128"/>
      <c r="D160" s="1268"/>
      <c r="E160" s="1334"/>
      <c r="F160" s="265"/>
      <c r="G160" s="1335"/>
      <c r="H160" s="250"/>
      <c r="I160" s="250">
        <v>1</v>
      </c>
      <c r="J160" s="295"/>
      <c r="K160" s="296" t="s">
        <v>66</v>
      </c>
      <c r="L160" s="218"/>
      <c r="M160" s="218" t="s">
        <v>109</v>
      </c>
      <c r="N160" s="1332" t="str">
        <f>IF(Z160="","",INDEX(TERRITORY_MR_LIST,MATCH(Z160,TERRITORY_LIST_ID,0)))</f>
        <v/>
      </c>
      <c r="O160" s="296" t="s">
        <v>66</v>
      </c>
      <c r="P160" s="218"/>
      <c r="Q160" s="218" t="s">
        <v>109</v>
      </c>
      <c r="R160" s="372" t="s">
        <v>28</v>
      </c>
      <c r="S160" s="224" t="s">
        <v>66</v>
      </c>
      <c r="T160" s="218"/>
      <c r="U160" s="218" t="s">
        <v>109</v>
      </c>
      <c r="V160" s="372" t="s">
        <v>28</v>
      </c>
      <c r="W160" s="295"/>
      <c r="Y160" s="264"/>
      <c r="Z160" s="264"/>
      <c r="AA160" s="264"/>
      <c r="AB160" s="264"/>
      <c r="AC160" s="264"/>
      <c r="AD160" s="264"/>
      <c r="AE160" s="264"/>
      <c r="AF160" s="264"/>
      <c r="AG160" s="264"/>
      <c r="AH160" s="264"/>
      <c r="AI160" s="264"/>
      <c r="AJ160" s="264"/>
      <c r="AK160" s="264"/>
      <c r="AL160" s="62"/>
      <c r="AM160" s="62"/>
      <c r="AN160" s="264"/>
      <c r="AO160" s="264"/>
      <c r="AP160" s="264"/>
      <c r="AQ160" s="264"/>
    </row>
    <row r="161" s="184" customFormat="1" ht="17.25" customHeight="1">
      <c r="A161" s="253"/>
      <c r="C161" s="184"/>
      <c r="D161" s="1268"/>
      <c r="E161" s="1334"/>
      <c r="F161" s="265"/>
      <c r="G161" s="1335"/>
      <c r="H161" s="250"/>
      <c r="I161" s="250"/>
      <c r="J161" s="295"/>
      <c r="K161" s="301"/>
      <c r="L161" s="218"/>
      <c r="M161" s="218"/>
      <c r="N161" s="1332"/>
      <c r="O161" s="301"/>
      <c r="P161" s="218"/>
      <c r="Q161" s="218"/>
      <c r="R161" s="372"/>
      <c r="S161" s="224"/>
      <c r="T161" s="306"/>
      <c r="U161" s="307"/>
      <c r="V161" s="307" t="s">
        <v>416</v>
      </c>
      <c r="W161" s="310"/>
      <c r="Y161" s="106"/>
      <c r="Z161" s="106"/>
      <c r="AA161" s="106"/>
      <c r="AB161" s="106"/>
      <c r="AC161" s="106"/>
      <c r="AD161" s="106"/>
      <c r="AE161" s="106"/>
      <c r="AF161" s="106"/>
      <c r="AG161" s="106"/>
      <c r="AH161" s="106"/>
      <c r="AI161" s="106"/>
      <c r="AJ161" s="106"/>
      <c r="AK161" s="106"/>
    </row>
    <row r="162" s="184" customFormat="1" ht="17.25" customHeight="1">
      <c r="A162" s="253"/>
      <c r="C162" s="184"/>
      <c r="D162" s="1268"/>
      <c r="E162" s="1334"/>
      <c r="F162" s="265"/>
      <c r="G162" s="1335"/>
      <c r="H162" s="274"/>
      <c r="I162" s="274"/>
      <c r="J162" s="305"/>
      <c r="K162" s="301"/>
      <c r="L162" s="274"/>
      <c r="M162" s="274"/>
      <c r="N162" s="1333"/>
      <c r="O162" s="220"/>
      <c r="P162" s="306"/>
      <c r="Q162" s="307"/>
      <c r="R162" s="307" t="s">
        <v>238</v>
      </c>
      <c r="S162" s="308"/>
      <c r="T162" s="308"/>
      <c r="U162" s="308"/>
      <c r="V162" s="308"/>
      <c r="W162" s="310"/>
      <c r="Y162" s="106"/>
      <c r="Z162" s="106"/>
      <c r="AA162" s="106"/>
      <c r="AB162" s="106"/>
      <c r="AC162" s="106"/>
      <c r="AD162" s="106"/>
      <c r="AE162" s="106"/>
      <c r="AF162" s="106"/>
      <c r="AG162" s="106"/>
      <c r="AH162" s="106"/>
      <c r="AI162" s="106"/>
      <c r="AJ162" s="106"/>
      <c r="AK162" s="106"/>
    </row>
    <row r="163" s="184" customFormat="1" ht="17.25" customHeight="1">
      <c r="A163" s="253"/>
      <c r="C163" s="184"/>
      <c r="D163" s="1268"/>
      <c r="E163" s="1334"/>
      <c r="F163" s="265"/>
      <c r="G163" s="1335"/>
      <c r="H163" s="274"/>
      <c r="I163" s="274"/>
      <c r="J163" s="305"/>
      <c r="K163" s="220"/>
      <c r="L163" s="306"/>
      <c r="M163" s="307"/>
      <c r="N163" s="307" t="s">
        <v>239</v>
      </c>
      <c r="O163" s="307"/>
      <c r="P163" s="307"/>
      <c r="Q163" s="307"/>
      <c r="R163" s="307"/>
      <c r="S163" s="308"/>
      <c r="T163" s="308"/>
      <c r="U163" s="308"/>
      <c r="V163" s="308"/>
      <c r="W163" s="310"/>
      <c r="Y163" s="106"/>
      <c r="Z163" s="106"/>
      <c r="AA163" s="106"/>
      <c r="AB163" s="106"/>
      <c r="AC163" s="106"/>
      <c r="AD163" s="106"/>
      <c r="AE163" s="106"/>
      <c r="AF163" s="106"/>
      <c r="AG163" s="106"/>
      <c r="AH163" s="106"/>
      <c r="AI163" s="106"/>
      <c r="AJ163" s="106"/>
      <c r="AK163" s="106"/>
    </row>
    <row r="164" ht="17.25" customHeight="1">
      <c r="G164" s="273"/>
      <c r="H164" s="273"/>
      <c r="I164" s="273"/>
      <c r="M164" s="63"/>
    </row>
    <row r="165" s="184" customFormat="1" ht="17.25" customHeight="1">
      <c r="A165" s="253"/>
      <c r="C165" s="128"/>
      <c r="D165" s="1268"/>
      <c r="E165" s="1334"/>
      <c r="F165" s="265"/>
      <c r="G165" s="1335"/>
      <c r="H165" s="1268"/>
      <c r="I165" s="1268"/>
      <c r="J165" s="1336"/>
      <c r="K165" s="1337"/>
      <c r="L165" s="218"/>
      <c r="M165" s="218" t="s">
        <v>109</v>
      </c>
      <c r="N165" s="1332" t="str">
        <f>IF(Z165="","",INDEX(TERRITORY_MR_LIST,MATCH(Z165,TERRITORY_LIST_ID,0)))</f>
        <v/>
      </c>
      <c r="O165" s="296" t="s">
        <v>66</v>
      </c>
      <c r="P165" s="218"/>
      <c r="Q165" s="218" t="s">
        <v>109</v>
      </c>
      <c r="R165" s="372" t="s">
        <v>28</v>
      </c>
      <c r="S165" s="224" t="s">
        <v>66</v>
      </c>
      <c r="T165" s="218"/>
      <c r="U165" s="218" t="s">
        <v>109</v>
      </c>
      <c r="V165" s="372" t="s">
        <v>28</v>
      </c>
      <c r="W165" s="295"/>
      <c r="Y165" s="264"/>
      <c r="Z165" s="264"/>
      <c r="AA165" s="264"/>
      <c r="AB165" s="264"/>
      <c r="AC165" s="264"/>
      <c r="AD165" s="264"/>
      <c r="AE165" s="264"/>
      <c r="AF165" s="264"/>
      <c r="AG165" s="264"/>
      <c r="AH165" s="264"/>
      <c r="AI165" s="264"/>
      <c r="AJ165" s="264"/>
      <c r="AK165" s="264"/>
      <c r="AL165" s="62"/>
      <c r="AM165" s="62"/>
      <c r="AN165" s="264"/>
      <c r="AO165" s="264"/>
      <c r="AP165" s="264"/>
      <c r="AQ165" s="264"/>
    </row>
    <row r="166" s="184" customFormat="1" ht="17.25" customHeight="1">
      <c r="A166" s="253"/>
      <c r="C166" s="184"/>
      <c r="D166" s="1268"/>
      <c r="E166" s="1334"/>
      <c r="F166" s="265"/>
      <c r="G166" s="1335"/>
      <c r="H166" s="1268"/>
      <c r="I166" s="1268"/>
      <c r="J166" s="1336"/>
      <c r="K166" s="1337"/>
      <c r="L166" s="218"/>
      <c r="M166" s="218"/>
      <c r="N166" s="1332"/>
      <c r="O166" s="301"/>
      <c r="P166" s="218"/>
      <c r="Q166" s="218"/>
      <c r="R166" s="372"/>
      <c r="S166" s="224"/>
      <c r="T166" s="306"/>
      <c r="U166" s="307"/>
      <c r="V166" s="307" t="s">
        <v>416</v>
      </c>
      <c r="W166" s="310"/>
      <c r="Y166" s="106"/>
      <c r="Z166" s="106"/>
      <c r="AA166" s="106"/>
      <c r="AB166" s="106"/>
      <c r="AC166" s="106"/>
      <c r="AD166" s="106"/>
      <c r="AE166" s="106"/>
      <c r="AF166" s="106"/>
      <c r="AG166" s="106"/>
      <c r="AH166" s="106"/>
      <c r="AI166" s="106"/>
      <c r="AJ166" s="106"/>
      <c r="AK166" s="106"/>
    </row>
    <row r="167" s="184" customFormat="1" ht="17.25" customHeight="1">
      <c r="A167" s="253"/>
      <c r="C167" s="184"/>
      <c r="D167" s="1268"/>
      <c r="E167" s="1334"/>
      <c r="F167" s="265"/>
      <c r="G167" s="1335"/>
      <c r="H167" s="1268"/>
      <c r="I167" s="1268"/>
      <c r="J167" s="1336"/>
      <c r="K167" s="1337"/>
      <c r="L167" s="274"/>
      <c r="M167" s="274"/>
      <c r="N167" s="1333"/>
      <c r="O167" s="220"/>
      <c r="P167" s="306"/>
      <c r="Q167" s="307"/>
      <c r="R167" s="307" t="s">
        <v>238</v>
      </c>
      <c r="S167" s="308"/>
      <c r="T167" s="308"/>
      <c r="U167" s="308"/>
      <c r="V167" s="308"/>
      <c r="W167" s="310"/>
      <c r="Y167" s="106"/>
      <c r="Z167" s="106"/>
      <c r="AA167" s="106"/>
      <c r="AB167" s="106"/>
      <c r="AC167" s="106"/>
      <c r="AD167" s="106"/>
      <c r="AE167" s="106"/>
      <c r="AF167" s="106"/>
      <c r="AG167" s="106"/>
      <c r="AH167" s="106"/>
      <c r="AI167" s="106"/>
      <c r="AJ167" s="106"/>
      <c r="AK167" s="106"/>
    </row>
    <row r="168" ht="17.25" customHeight="1">
      <c r="G168" s="273"/>
      <c r="H168" s="273"/>
      <c r="I168" s="273"/>
      <c r="M168" s="63"/>
    </row>
    <row r="169" s="184" customFormat="1" ht="17.25" customHeight="1">
      <c r="A169" s="253"/>
      <c r="C169" s="128"/>
      <c r="D169" s="1268"/>
      <c r="E169" s="1334"/>
      <c r="F169" s="265"/>
      <c r="G169" s="1335"/>
      <c r="H169" s="1268"/>
      <c r="I169" s="1268"/>
      <c r="J169" s="1336"/>
      <c r="K169" s="1337"/>
      <c r="L169" s="1338"/>
      <c r="M169" s="1338"/>
      <c r="N169" s="1339"/>
      <c r="O169" s="301"/>
      <c r="P169" s="218"/>
      <c r="Q169" s="218" t="s">
        <v>109</v>
      </c>
      <c r="R169" s="372" t="s">
        <v>28</v>
      </c>
      <c r="S169" s="224" t="s">
        <v>66</v>
      </c>
      <c r="T169" s="218"/>
      <c r="U169" s="218" t="s">
        <v>109</v>
      </c>
      <c r="V169" s="372" t="s">
        <v>28</v>
      </c>
      <c r="W169" s="295"/>
      <c r="Y169" s="264"/>
      <c r="Z169" s="264"/>
      <c r="AA169" s="264"/>
      <c r="AB169" s="264"/>
      <c r="AC169" s="264"/>
      <c r="AD169" s="264"/>
      <c r="AE169" s="264"/>
      <c r="AF169" s="264"/>
      <c r="AG169" s="264"/>
      <c r="AH169" s="264"/>
      <c r="AI169" s="264"/>
      <c r="AJ169" s="264"/>
      <c r="AK169" s="264"/>
      <c r="AL169" s="62"/>
      <c r="AM169" s="62"/>
      <c r="AN169" s="264"/>
      <c r="AO169" s="264"/>
      <c r="AP169" s="264"/>
      <c r="AQ169" s="264"/>
    </row>
    <row r="170" s="184" customFormat="1" ht="17.25" customHeight="1">
      <c r="A170" s="253"/>
      <c r="C170" s="184"/>
      <c r="D170" s="1268"/>
      <c r="E170" s="1334"/>
      <c r="F170" s="265"/>
      <c r="G170" s="1335"/>
      <c r="H170" s="1268"/>
      <c r="I170" s="1268"/>
      <c r="J170" s="1336"/>
      <c r="K170" s="1337"/>
      <c r="L170" s="1338"/>
      <c r="M170" s="1338"/>
      <c r="N170" s="1339"/>
      <c r="O170" s="301"/>
      <c r="P170" s="218"/>
      <c r="Q170" s="218"/>
      <c r="R170" s="372"/>
      <c r="S170" s="224"/>
      <c r="T170" s="306"/>
      <c r="U170" s="307"/>
      <c r="V170" s="307" t="s">
        <v>416</v>
      </c>
      <c r="W170" s="310"/>
      <c r="Y170" s="106"/>
      <c r="Z170" s="106"/>
      <c r="AA170" s="106"/>
      <c r="AB170" s="106"/>
      <c r="AC170" s="106"/>
      <c r="AD170" s="106"/>
      <c r="AE170" s="106"/>
      <c r="AF170" s="106"/>
      <c r="AG170" s="106"/>
      <c r="AH170" s="106"/>
      <c r="AI170" s="106"/>
      <c r="AJ170" s="106"/>
      <c r="AK170" s="106"/>
    </row>
    <row r="171" ht="17.25" customHeight="1">
      <c r="G171" s="273"/>
      <c r="H171" s="273"/>
      <c r="I171" s="273"/>
      <c r="M171" s="63"/>
    </row>
    <row r="172" s="184" customFormat="1" ht="17.25" customHeight="1">
      <c r="A172" s="253"/>
      <c r="C172" s="128"/>
      <c r="D172" s="1268"/>
      <c r="E172" s="1334"/>
      <c r="F172" s="265"/>
      <c r="G172" s="1335"/>
      <c r="H172" s="1338"/>
      <c r="I172" s="1338"/>
      <c r="J172" s="1340"/>
      <c r="K172" s="1335"/>
      <c r="L172" s="1338"/>
      <c r="M172" s="1338"/>
      <c r="N172" s="1335"/>
      <c r="O172" s="1335"/>
      <c r="P172" s="1338"/>
      <c r="Q172" s="1338"/>
      <c r="R172" s="1341"/>
      <c r="S172" s="1335"/>
      <c r="T172" s="218"/>
      <c r="U172" s="218" t="s">
        <v>109</v>
      </c>
      <c r="V172" s="372" t="s">
        <v>28</v>
      </c>
      <c r="W172" s="295"/>
      <c r="Y172" s="264"/>
      <c r="Z172" s="264"/>
      <c r="AA172" s="264"/>
      <c r="AB172" s="264"/>
      <c r="AC172" s="264"/>
      <c r="AD172" s="264"/>
      <c r="AE172" s="264"/>
      <c r="AF172" s="264"/>
      <c r="AG172" s="264"/>
      <c r="AH172" s="264"/>
      <c r="AI172" s="264"/>
      <c r="AJ172" s="264"/>
      <c r="AK172" s="264"/>
      <c r="AL172" s="62"/>
      <c r="AM172" s="62"/>
      <c r="AN172" s="264"/>
      <c r="AO172" s="264"/>
      <c r="AP172" s="264"/>
      <c r="AQ172" s="264"/>
    </row>
    <row r="174" s="1188" customFormat="1" ht="17.25" customHeight="1">
      <c r="A174" s="1188" t="s">
        <v>1949</v>
      </c>
    </row>
    <row r="175" ht="17.25" customHeight="1">
      <c r="G175" s="273"/>
      <c r="H175" s="273"/>
      <c r="I175" s="273"/>
      <c r="M175" s="63"/>
    </row>
    <row r="176" s="184" customFormat="1" ht="17.25" customHeight="1">
      <c r="A176" s="253"/>
      <c r="C176" s="128"/>
      <c r="D176" s="250"/>
      <c r="E176" s="255"/>
      <c r="F176" s="256"/>
      <c r="G176" s="294"/>
      <c r="H176" s="250"/>
      <c r="I176" s="250">
        <v>1</v>
      </c>
      <c r="J176" s="295"/>
      <c r="K176" s="296" t="s">
        <v>66</v>
      </c>
      <c r="L176" s="218"/>
      <c r="M176" s="218" t="s">
        <v>109</v>
      </c>
      <c r="N176" s="1332" t="str">
        <f>IF(Z176="","",INDEX(TERRITORY_MR_LIST,MATCH(Z176,TERRITORY_LIST_ID,0)))</f>
        <v/>
      </c>
      <c r="O176" s="296" t="s">
        <v>66</v>
      </c>
      <c r="P176" s="218"/>
      <c r="Q176" s="218" t="s">
        <v>109</v>
      </c>
      <c r="R176" s="372" t="s">
        <v>28</v>
      </c>
      <c r="S176" s="299" t="s">
        <v>19</v>
      </c>
      <c r="T176" s="299"/>
      <c r="U176" s="299" t="s">
        <v>109</v>
      </c>
      <c r="V176" s="300"/>
      <c r="W176" s="295"/>
      <c r="Y176" s="264"/>
      <c r="Z176" s="264"/>
      <c r="AA176" s="264"/>
      <c r="AB176" s="264"/>
      <c r="AC176" s="264"/>
      <c r="AD176" s="264"/>
      <c r="AE176" s="264"/>
      <c r="AF176" s="264"/>
      <c r="AG176" s="264"/>
      <c r="AH176" s="264"/>
      <c r="AI176" s="264"/>
      <c r="AJ176" s="264"/>
      <c r="AK176" s="264"/>
      <c r="AL176" s="62"/>
      <c r="AM176" s="62"/>
      <c r="AN176" s="264"/>
      <c r="AO176" s="264"/>
      <c r="AP176" s="264"/>
      <c r="AQ176" s="264"/>
    </row>
    <row r="177" s="184" customFormat="1" ht="17.25" customHeight="1">
      <c r="A177" s="253"/>
      <c r="C177" s="184"/>
      <c r="D177" s="250"/>
      <c r="E177" s="255"/>
      <c r="F177" s="265"/>
      <c r="G177" s="294"/>
      <c r="H177" s="250"/>
      <c r="I177" s="250"/>
      <c r="J177" s="295"/>
      <c r="K177" s="301"/>
      <c r="L177" s="218"/>
      <c r="M177" s="218"/>
      <c r="N177" s="1332"/>
      <c r="O177" s="301"/>
      <c r="P177" s="218"/>
      <c r="Q177" s="218"/>
      <c r="R177" s="372"/>
      <c r="S177" s="299"/>
      <c r="T177" s="302"/>
      <c r="U177" s="303"/>
      <c r="V177" s="303"/>
      <c r="W177" s="295"/>
      <c r="Y177" s="106"/>
      <c r="Z177" s="106"/>
      <c r="AA177" s="106"/>
      <c r="AB177" s="106"/>
      <c r="AC177" s="106"/>
      <c r="AD177" s="106"/>
      <c r="AE177" s="106"/>
      <c r="AF177" s="106"/>
      <c r="AG177" s="106"/>
      <c r="AH177" s="106"/>
      <c r="AI177" s="106"/>
      <c r="AJ177" s="106"/>
      <c r="AK177" s="106"/>
    </row>
    <row r="178" s="184" customFormat="1" ht="17.25" customHeight="1">
      <c r="A178" s="253"/>
      <c r="C178" s="184"/>
      <c r="D178" s="274"/>
      <c r="E178" s="275"/>
      <c r="F178" s="265"/>
      <c r="G178" s="304"/>
      <c r="H178" s="274"/>
      <c r="I178" s="274"/>
      <c r="J178" s="305"/>
      <c r="K178" s="301"/>
      <c r="L178" s="274"/>
      <c r="M178" s="274"/>
      <c r="N178" s="1333"/>
      <c r="O178" s="220"/>
      <c r="P178" s="306"/>
      <c r="Q178" s="307"/>
      <c r="R178" s="307" t="s">
        <v>238</v>
      </c>
      <c r="S178" s="308"/>
      <c r="T178" s="308"/>
      <c r="U178" s="308"/>
      <c r="V178" s="308"/>
      <c r="W178" s="309"/>
      <c r="Y178" s="106"/>
      <c r="Z178" s="106"/>
      <c r="AA178" s="106"/>
      <c r="AB178" s="106"/>
      <c r="AC178" s="106"/>
      <c r="AD178" s="106"/>
      <c r="AE178" s="106"/>
      <c r="AF178" s="106"/>
      <c r="AG178" s="106"/>
      <c r="AH178" s="106"/>
      <c r="AI178" s="106"/>
      <c r="AJ178" s="106"/>
      <c r="AK178" s="106"/>
    </row>
    <row r="179" s="184" customFormat="1" ht="17.25" customHeight="1">
      <c r="A179" s="253"/>
      <c r="C179" s="184"/>
      <c r="D179" s="274"/>
      <c r="E179" s="275"/>
      <c r="F179" s="265"/>
      <c r="G179" s="304"/>
      <c r="H179" s="274"/>
      <c r="I179" s="274"/>
      <c r="J179" s="305"/>
      <c r="K179" s="220"/>
      <c r="L179" s="306"/>
      <c r="M179" s="307"/>
      <c r="N179" s="307" t="s">
        <v>239</v>
      </c>
      <c r="O179" s="307"/>
      <c r="P179" s="307"/>
      <c r="Q179" s="307"/>
      <c r="R179" s="307"/>
      <c r="S179" s="308"/>
      <c r="T179" s="308"/>
      <c r="U179" s="308"/>
      <c r="V179" s="308"/>
      <c r="W179" s="310"/>
      <c r="Y179" s="106"/>
      <c r="Z179" s="106"/>
      <c r="AA179" s="106"/>
      <c r="AB179" s="106"/>
      <c r="AC179" s="106"/>
      <c r="AD179" s="106"/>
      <c r="AE179" s="106"/>
      <c r="AF179" s="106"/>
      <c r="AG179" s="106"/>
      <c r="AH179" s="106"/>
      <c r="AI179" s="106"/>
      <c r="AJ179" s="106"/>
      <c r="AK179" s="106"/>
    </row>
    <row r="180" s="184" customFormat="1" ht="17.25" customHeight="1">
      <c r="A180" s="253"/>
      <c r="C180" s="184"/>
      <c r="D180" s="274"/>
      <c r="E180" s="275"/>
      <c r="F180" s="276"/>
      <c r="G180" s="304"/>
      <c r="H180" s="306"/>
      <c r="I180" s="307"/>
      <c r="J180" s="307" t="s">
        <v>240</v>
      </c>
      <c r="K180" s="307"/>
      <c r="L180" s="307"/>
      <c r="M180" s="307"/>
      <c r="N180" s="307"/>
      <c r="O180" s="307"/>
      <c r="P180" s="307"/>
      <c r="Q180" s="307"/>
      <c r="R180" s="307"/>
      <c r="S180" s="308"/>
      <c r="T180" s="308"/>
      <c r="U180" s="308"/>
      <c r="V180" s="308"/>
      <c r="W180" s="310"/>
      <c r="Y180" s="106"/>
      <c r="Z180" s="106"/>
      <c r="AA180" s="106"/>
      <c r="AB180" s="106"/>
      <c r="AC180" s="106"/>
      <c r="AD180" s="106"/>
      <c r="AE180" s="106"/>
      <c r="AF180" s="106"/>
      <c r="AG180" s="106"/>
      <c r="AH180" s="106"/>
      <c r="AI180" s="106"/>
      <c r="AJ180" s="106"/>
      <c r="AK180" s="106"/>
    </row>
    <row r="181" ht="17.25" customHeight="1">
      <c r="A181" s="63"/>
    </row>
    <row r="182" s="184" customFormat="1" ht="17.25" customHeight="1">
      <c r="A182" s="253"/>
      <c r="C182" s="128"/>
      <c r="D182" s="1268"/>
      <c r="E182" s="1334"/>
      <c r="F182" s="265"/>
      <c r="G182" s="1335"/>
      <c r="H182" s="250"/>
      <c r="I182" s="250">
        <v>1</v>
      </c>
      <c r="J182" s="295"/>
      <c r="K182" s="296" t="s">
        <v>66</v>
      </c>
      <c r="L182" s="218"/>
      <c r="M182" s="218" t="s">
        <v>109</v>
      </c>
      <c r="N182" s="1332" t="str">
        <f>IF(Z182="","",INDEX(TERRITORY_MR_LIST,MATCH(Z182,TERRITORY_LIST_ID,0)))</f>
        <v/>
      </c>
      <c r="O182" s="296" t="s">
        <v>66</v>
      </c>
      <c r="P182" s="218"/>
      <c r="Q182" s="218" t="s">
        <v>109</v>
      </c>
      <c r="R182" s="372" t="s">
        <v>28</v>
      </c>
      <c r="S182" s="299" t="s">
        <v>19</v>
      </c>
      <c r="T182" s="299"/>
      <c r="U182" s="299" t="s">
        <v>109</v>
      </c>
      <c r="V182" s="300"/>
      <c r="W182" s="295"/>
      <c r="Y182" s="264"/>
      <c r="Z182" s="264"/>
      <c r="AA182" s="264"/>
      <c r="AB182" s="264"/>
      <c r="AC182" s="264"/>
      <c r="AD182" s="264"/>
      <c r="AE182" s="264"/>
      <c r="AF182" s="264"/>
      <c r="AG182" s="264"/>
      <c r="AH182" s="264"/>
      <c r="AI182" s="264"/>
      <c r="AJ182" s="264"/>
      <c r="AK182" s="264"/>
      <c r="AL182" s="62"/>
      <c r="AM182" s="62"/>
      <c r="AN182" s="264"/>
      <c r="AO182" s="264"/>
      <c r="AP182" s="264"/>
      <c r="AQ182" s="264"/>
    </row>
    <row r="183" s="184" customFormat="1" ht="17.25" customHeight="1">
      <c r="A183" s="253"/>
      <c r="C183" s="184"/>
      <c r="D183" s="1268"/>
      <c r="E183" s="1334"/>
      <c r="F183" s="265"/>
      <c r="G183" s="1335"/>
      <c r="H183" s="250"/>
      <c r="I183" s="250"/>
      <c r="J183" s="295"/>
      <c r="K183" s="301"/>
      <c r="L183" s="218"/>
      <c r="M183" s="218"/>
      <c r="N183" s="1332"/>
      <c r="O183" s="301"/>
      <c r="P183" s="218"/>
      <c r="Q183" s="218"/>
      <c r="R183" s="372"/>
      <c r="S183" s="299"/>
      <c r="T183" s="302"/>
      <c r="U183" s="303"/>
      <c r="V183" s="303"/>
      <c r="W183" s="295"/>
      <c r="Y183" s="106"/>
      <c r="Z183" s="106"/>
      <c r="AA183" s="106"/>
      <c r="AB183" s="106"/>
      <c r="AC183" s="106"/>
      <c r="AD183" s="106"/>
      <c r="AE183" s="106"/>
      <c r="AF183" s="106"/>
      <c r="AG183" s="106"/>
      <c r="AH183" s="106"/>
      <c r="AI183" s="106"/>
      <c r="AJ183" s="106"/>
      <c r="AK183" s="106"/>
    </row>
    <row r="184" s="184" customFormat="1" ht="17.25" customHeight="1">
      <c r="A184" s="253"/>
      <c r="C184" s="184"/>
      <c r="D184" s="1268"/>
      <c r="E184" s="1334"/>
      <c r="F184" s="265"/>
      <c r="G184" s="1335"/>
      <c r="H184" s="274"/>
      <c r="I184" s="274"/>
      <c r="J184" s="305"/>
      <c r="K184" s="301"/>
      <c r="L184" s="274"/>
      <c r="M184" s="274"/>
      <c r="N184" s="1333"/>
      <c r="O184" s="220"/>
      <c r="P184" s="306"/>
      <c r="Q184" s="307"/>
      <c r="R184" s="307" t="s">
        <v>238</v>
      </c>
      <c r="S184" s="308"/>
      <c r="T184" s="308"/>
      <c r="U184" s="308"/>
      <c r="V184" s="308"/>
      <c r="W184" s="309"/>
      <c r="Y184" s="106"/>
      <c r="Z184" s="106"/>
      <c r="AA184" s="106"/>
      <c r="AB184" s="106"/>
      <c r="AC184" s="106"/>
      <c r="AD184" s="106"/>
      <c r="AE184" s="106"/>
      <c r="AF184" s="106"/>
      <c r="AG184" s="106"/>
      <c r="AH184" s="106"/>
      <c r="AI184" s="106"/>
      <c r="AJ184" s="106"/>
      <c r="AK184" s="106"/>
    </row>
    <row r="185" s="184" customFormat="1" ht="17.25" customHeight="1">
      <c r="A185" s="253"/>
      <c r="C185" s="184"/>
      <c r="D185" s="1268"/>
      <c r="E185" s="1334"/>
      <c r="F185" s="265"/>
      <c r="G185" s="1335"/>
      <c r="H185" s="274"/>
      <c r="I185" s="274"/>
      <c r="J185" s="305"/>
      <c r="K185" s="220"/>
      <c r="L185" s="306"/>
      <c r="M185" s="307"/>
      <c r="N185" s="307" t="s">
        <v>239</v>
      </c>
      <c r="O185" s="307"/>
      <c r="P185" s="307"/>
      <c r="Q185" s="307"/>
      <c r="R185" s="307"/>
      <c r="S185" s="308"/>
      <c r="T185" s="308"/>
      <c r="U185" s="308"/>
      <c r="V185" s="308"/>
      <c r="W185" s="310"/>
      <c r="Y185" s="106"/>
      <c r="Z185" s="106"/>
      <c r="AA185" s="106"/>
      <c r="AB185" s="106"/>
      <c r="AC185" s="106"/>
      <c r="AD185" s="106"/>
      <c r="AE185" s="106"/>
      <c r="AF185" s="106"/>
      <c r="AG185" s="106"/>
      <c r="AH185" s="106"/>
      <c r="AI185" s="106"/>
      <c r="AJ185" s="106"/>
      <c r="AK185" s="106"/>
    </row>
    <row r="186" ht="17.25" customHeight="1">
      <c r="A186" s="63"/>
    </row>
    <row r="187" s="184" customFormat="1" ht="17.25" customHeight="1">
      <c r="A187" s="253"/>
      <c r="C187" s="128"/>
      <c r="D187" s="1268"/>
      <c r="E187" s="1334"/>
      <c r="F187" s="265"/>
      <c r="G187" s="1335"/>
      <c r="H187" s="1268"/>
      <c r="I187" s="1268"/>
      <c r="J187" s="1342"/>
      <c r="K187" s="1335"/>
      <c r="L187" s="218"/>
      <c r="M187" s="218" t="s">
        <v>109</v>
      </c>
      <c r="N187" s="1332" t="str">
        <f>IF(Z187="","",INDEX(TERRITORY_MR_LIST,MATCH(Z187,TERRITORY_LIST_ID,0)))</f>
        <v/>
      </c>
      <c r="O187" s="296" t="s">
        <v>66</v>
      </c>
      <c r="P187" s="218"/>
      <c r="Q187" s="218" t="s">
        <v>109</v>
      </c>
      <c r="R187" s="372" t="s">
        <v>28</v>
      </c>
      <c r="S187" s="299" t="s">
        <v>19</v>
      </c>
      <c r="T187" s="299"/>
      <c r="U187" s="299" t="s">
        <v>109</v>
      </c>
      <c r="V187" s="300"/>
      <c r="W187" s="295"/>
      <c r="Y187" s="264"/>
      <c r="Z187" s="264"/>
      <c r="AA187" s="264"/>
      <c r="AB187" s="264"/>
      <c r="AC187" s="264"/>
      <c r="AD187" s="264"/>
      <c r="AE187" s="264"/>
      <c r="AF187" s="264"/>
      <c r="AG187" s="264"/>
      <c r="AH187" s="264"/>
      <c r="AI187" s="264"/>
      <c r="AJ187" s="264"/>
      <c r="AK187" s="264"/>
      <c r="AL187" s="62"/>
      <c r="AM187" s="62"/>
      <c r="AN187" s="264"/>
      <c r="AO187" s="264"/>
      <c r="AP187" s="264"/>
      <c r="AQ187" s="264"/>
    </row>
    <row r="188" s="184" customFormat="1" ht="17.25" customHeight="1">
      <c r="A188" s="253"/>
      <c r="C188" s="184"/>
      <c r="D188" s="1268"/>
      <c r="E188" s="1334"/>
      <c r="F188" s="265"/>
      <c r="G188" s="1335"/>
      <c r="H188" s="1268"/>
      <c r="I188" s="1268"/>
      <c r="J188" s="1342"/>
      <c r="K188" s="1335"/>
      <c r="L188" s="218"/>
      <c r="M188" s="218"/>
      <c r="N188" s="1332"/>
      <c r="O188" s="301"/>
      <c r="P188" s="218"/>
      <c r="Q188" s="218"/>
      <c r="R188" s="372"/>
      <c r="S188" s="299"/>
      <c r="T188" s="302"/>
      <c r="U188" s="303"/>
      <c r="V188" s="303"/>
      <c r="W188" s="295"/>
      <c r="Y188" s="106"/>
      <c r="Z188" s="106"/>
      <c r="AA188" s="106"/>
      <c r="AB188" s="106"/>
      <c r="AC188" s="106"/>
      <c r="AD188" s="106"/>
      <c r="AE188" s="106"/>
      <c r="AF188" s="106"/>
      <c r="AG188" s="106"/>
      <c r="AH188" s="106"/>
      <c r="AI188" s="106"/>
      <c r="AJ188" s="106"/>
      <c r="AK188" s="106"/>
    </row>
    <row r="189" s="184" customFormat="1" ht="17.25" customHeight="1">
      <c r="A189" s="253"/>
      <c r="C189" s="184"/>
      <c r="D189" s="1268"/>
      <c r="E189" s="1334"/>
      <c r="F189" s="265"/>
      <c r="G189" s="1335"/>
      <c r="H189" s="1268"/>
      <c r="I189" s="1268"/>
      <c r="J189" s="1342"/>
      <c r="K189" s="1335"/>
      <c r="L189" s="274"/>
      <c r="M189" s="274"/>
      <c r="N189" s="1333"/>
      <c r="O189" s="220"/>
      <c r="P189" s="306"/>
      <c r="Q189" s="307"/>
      <c r="R189" s="307" t="s">
        <v>238</v>
      </c>
      <c r="S189" s="308"/>
      <c r="T189" s="308"/>
      <c r="U189" s="308"/>
      <c r="V189" s="308"/>
      <c r="W189" s="309"/>
      <c r="Y189" s="106"/>
      <c r="Z189" s="106"/>
      <c r="AA189" s="106"/>
      <c r="AB189" s="106"/>
      <c r="AC189" s="106"/>
      <c r="AD189" s="106"/>
      <c r="AE189" s="106"/>
      <c r="AF189" s="106"/>
      <c r="AG189" s="106"/>
      <c r="AH189" s="106"/>
      <c r="AI189" s="106"/>
      <c r="AJ189" s="106"/>
      <c r="AK189" s="106"/>
    </row>
    <row r="190" ht="17.25" customHeight="1">
      <c r="A190" s="63"/>
    </row>
    <row r="191" s="184" customFormat="1" ht="17.25" customHeight="1">
      <c r="A191" s="253"/>
      <c r="C191" s="128"/>
      <c r="D191" s="1268"/>
      <c r="E191" s="1334"/>
      <c r="F191" s="265"/>
      <c r="G191" s="1335"/>
      <c r="H191" s="1268"/>
      <c r="I191" s="1268"/>
      <c r="J191" s="1342"/>
      <c r="K191" s="1335"/>
      <c r="L191" s="1268"/>
      <c r="M191" s="1268"/>
      <c r="N191" s="1339"/>
      <c r="O191" s="301"/>
      <c r="P191" s="218"/>
      <c r="Q191" s="218" t="s">
        <v>109</v>
      </c>
      <c r="R191" s="372" t="s">
        <v>28</v>
      </c>
      <c r="S191" s="299" t="s">
        <v>19</v>
      </c>
      <c r="T191" s="299"/>
      <c r="U191" s="299" t="s">
        <v>109</v>
      </c>
      <c r="V191" s="300"/>
      <c r="W191" s="295"/>
      <c r="Y191" s="264"/>
      <c r="Z191" s="264"/>
      <c r="AA191" s="264"/>
      <c r="AB191" s="264"/>
      <c r="AC191" s="264"/>
      <c r="AD191" s="264"/>
      <c r="AE191" s="264"/>
      <c r="AF191" s="264"/>
      <c r="AG191" s="264"/>
      <c r="AH191" s="264"/>
      <c r="AI191" s="264"/>
      <c r="AJ191" s="264"/>
      <c r="AK191" s="264"/>
      <c r="AL191" s="62"/>
      <c r="AM191" s="62"/>
      <c r="AN191" s="264"/>
      <c r="AO191" s="264"/>
      <c r="AP191" s="264"/>
      <c r="AQ191" s="264"/>
    </row>
    <row r="192" s="184" customFormat="1" ht="17.25" customHeight="1">
      <c r="A192" s="253"/>
      <c r="C192" s="184"/>
      <c r="D192" s="1268"/>
      <c r="E192" s="1334"/>
      <c r="F192" s="265"/>
      <c r="G192" s="1335"/>
      <c r="H192" s="1268"/>
      <c r="I192" s="1268"/>
      <c r="J192" s="1342"/>
      <c r="K192" s="1335"/>
      <c r="L192" s="1268"/>
      <c r="M192" s="1268"/>
      <c r="N192" s="1339"/>
      <c r="O192" s="301"/>
      <c r="P192" s="218"/>
      <c r="Q192" s="218"/>
      <c r="R192" s="372"/>
      <c r="S192" s="299"/>
      <c r="T192" s="302"/>
      <c r="U192" s="303"/>
      <c r="V192" s="303"/>
      <c r="W192" s="295"/>
      <c r="Y192" s="106"/>
      <c r="Z192" s="106"/>
      <c r="AA192" s="106"/>
      <c r="AB192" s="106"/>
      <c r="AC192" s="106"/>
      <c r="AD192" s="106"/>
      <c r="AE192" s="106"/>
      <c r="AF192" s="106"/>
      <c r="AG192" s="106"/>
      <c r="AH192" s="106"/>
      <c r="AI192" s="106"/>
      <c r="AJ192" s="106"/>
      <c r="AK192" s="106"/>
    </row>
    <row r="193" ht="17.25" customHeight="1">
      <c r="A193" s="63"/>
    </row>
    <row r="194" ht="16.5" customHeight="1">
      <c r="A194" s="253"/>
      <c r="B194" s="184"/>
      <c r="C194" s="184"/>
      <c r="D194" s="250"/>
      <c r="E194" s="330"/>
      <c r="F194" s="330"/>
      <c r="G194" s="157"/>
      <c r="H194" s="257"/>
      <c r="I194" s="258"/>
      <c r="J194" s="259"/>
      <c r="K194" s="260"/>
      <c r="L194" s="260"/>
      <c r="M194" s="260"/>
      <c r="N194" s="261"/>
      <c r="O194" s="260"/>
      <c r="P194" s="260"/>
      <c r="Q194" s="260"/>
      <c r="R194" s="262"/>
      <c r="S194" s="260"/>
      <c r="T194" s="260"/>
      <c r="U194" s="260"/>
      <c r="V194" s="262"/>
      <c r="W194" s="263"/>
    </row>
    <row r="195" ht="16.5" customHeight="1">
      <c r="A195" s="253"/>
      <c r="B195" s="184"/>
      <c r="C195" s="184"/>
      <c r="D195" s="250"/>
      <c r="E195" s="330"/>
      <c r="F195" s="330"/>
      <c r="G195" s="157"/>
      <c r="H195" s="266"/>
      <c r="I195" s="267"/>
      <c r="J195" s="268"/>
      <c r="K195" s="125"/>
      <c r="L195" s="125"/>
      <c r="M195" s="125"/>
      <c r="N195" s="269"/>
      <c r="O195" s="125"/>
      <c r="P195" s="125"/>
      <c r="Q195" s="125"/>
      <c r="R195" s="270"/>
      <c r="S195" s="125"/>
      <c r="T195" s="271"/>
      <c r="U195" s="271"/>
      <c r="V195" s="271"/>
      <c r="W195" s="272"/>
    </row>
    <row r="196" ht="17.25" customHeight="1">
      <c r="A196" s="253"/>
      <c r="B196" s="184"/>
      <c r="C196" s="184"/>
      <c r="D196" s="250"/>
      <c r="E196" s="330"/>
      <c r="F196" s="330"/>
      <c r="G196" s="157"/>
      <c r="H196" s="266"/>
      <c r="I196" s="267"/>
      <c r="J196" s="273"/>
      <c r="K196" s="125"/>
      <c r="L196" s="125"/>
      <c r="M196" s="125"/>
      <c r="N196" s="270"/>
      <c r="O196" s="125"/>
      <c r="P196" s="125"/>
      <c r="Q196" s="271"/>
      <c r="R196" s="271"/>
      <c r="S196" s="184"/>
      <c r="T196" s="184"/>
      <c r="U196" s="184"/>
      <c r="V196" s="184"/>
      <c r="W196" s="272"/>
    </row>
    <row r="197" ht="17.25" customHeight="1">
      <c r="A197" s="253"/>
      <c r="B197" s="184"/>
      <c r="C197" s="184"/>
      <c r="D197" s="250"/>
      <c r="E197" s="330"/>
      <c r="F197" s="330"/>
      <c r="G197" s="157"/>
      <c r="H197" s="266"/>
      <c r="I197" s="267"/>
      <c r="J197" s="273"/>
      <c r="K197" s="125"/>
      <c r="L197" s="271"/>
      <c r="M197" s="271"/>
      <c r="N197" s="271"/>
      <c r="O197" s="271"/>
      <c r="P197" s="271"/>
      <c r="Q197" s="271"/>
      <c r="R197" s="271"/>
      <c r="S197" s="184"/>
      <c r="T197" s="184"/>
      <c r="U197" s="184"/>
      <c r="V197" s="184"/>
      <c r="W197" s="272"/>
    </row>
    <row r="198" ht="17.25" customHeight="1">
      <c r="A198" s="253"/>
      <c r="B198" s="184"/>
      <c r="C198" s="184"/>
      <c r="D198" s="250"/>
      <c r="E198" s="330"/>
      <c r="F198" s="330"/>
      <c r="G198" s="157"/>
      <c r="H198" s="277"/>
      <c r="I198" s="278"/>
      <c r="J198" s="278"/>
      <c r="K198" s="278"/>
      <c r="L198" s="278"/>
      <c r="M198" s="278"/>
      <c r="N198" s="278"/>
      <c r="O198" s="278"/>
      <c r="P198" s="278"/>
      <c r="Q198" s="278"/>
      <c r="R198" s="278"/>
      <c r="S198" s="279"/>
      <c r="T198" s="279"/>
      <c r="U198" s="279"/>
      <c r="V198" s="279"/>
      <c r="W198" s="280"/>
    </row>
    <row r="200" s="1188" customFormat="1" ht="17.25" customHeight="1">
      <c r="A200" s="1188" t="s">
        <v>1950</v>
      </c>
    </row>
    <row r="201" ht="17.25" customHeight="1">
      <c r="G201" s="273"/>
      <c r="H201" s="273"/>
      <c r="I201" s="273"/>
      <c r="M201" s="63"/>
    </row>
    <row r="202" s="63" customFormat="1" ht="15" customHeight="1">
      <c r="D202" s="1343"/>
      <c r="E202" s="323"/>
      <c r="F202" s="323"/>
      <c r="G202" s="296"/>
      <c r="H202" s="1344"/>
      <c r="I202" s="1345">
        <v>1</v>
      </c>
      <c r="J202" s="295"/>
      <c r="K202" s="1182"/>
      <c r="L202" s="296" t="s">
        <v>66</v>
      </c>
      <c r="M202" s="296" t="s">
        <v>66</v>
      </c>
      <c r="N202" s="1344"/>
      <c r="O202" s="218" t="s">
        <v>109</v>
      </c>
      <c r="P202" s="462"/>
      <c r="Q202" s="1182"/>
      <c r="R202" s="296" t="s">
        <v>66</v>
      </c>
      <c r="S202" s="296" t="s">
        <v>66</v>
      </c>
      <c r="T202" s="1346"/>
      <c r="U202" s="218" t="s">
        <v>109</v>
      </c>
      <c r="V202" s="1347" t="str">
        <f>IF(AK202="","",INDEX(TERRITORY_MR_LIST,MATCH(AK202,TERRITORY_LIST_ID,0)))</f>
        <v/>
      </c>
      <c r="W202" s="225"/>
      <c r="X202" s="296" t="s">
        <v>66</v>
      </c>
      <c r="Y202" s="296" t="s">
        <v>19</v>
      </c>
      <c r="Z202" s="1344"/>
      <c r="AA202" s="218" t="s">
        <v>109</v>
      </c>
      <c r="AB202" s="1348"/>
      <c r="AC202" s="343"/>
      <c r="AD202" s="296" t="s">
        <v>66</v>
      </c>
      <c r="AE202" s="296" t="s">
        <v>19</v>
      </c>
      <c r="AF202" s="225"/>
      <c r="AG202" s="218" t="s">
        <v>109</v>
      </c>
      <c r="AH202" s="1269"/>
      <c r="AI202" s="295"/>
    </row>
    <row r="203" s="63" customFormat="1" ht="15" customHeight="1">
      <c r="D203" s="1343"/>
      <c r="E203" s="323"/>
      <c r="F203" s="323"/>
      <c r="G203" s="301"/>
      <c r="H203" s="1344"/>
      <c r="I203" s="1345"/>
      <c r="J203" s="295"/>
      <c r="K203" s="1349"/>
      <c r="L203" s="301"/>
      <c r="M203" s="301"/>
      <c r="N203" s="1344"/>
      <c r="O203" s="218"/>
      <c r="P203" s="462"/>
      <c r="Q203" s="1350"/>
      <c r="R203" s="301"/>
      <c r="S203" s="301"/>
      <c r="T203" s="1346"/>
      <c r="U203" s="218"/>
      <c r="V203" s="1351"/>
      <c r="W203" s="1310"/>
      <c r="X203" s="301"/>
      <c r="Y203" s="301"/>
      <c r="Z203" s="1344"/>
      <c r="AA203" s="218"/>
      <c r="AB203" s="1170"/>
      <c r="AC203" s="852"/>
      <c r="AD203" s="220"/>
      <c r="AE203" s="220"/>
      <c r="AF203" s="1352"/>
      <c r="AG203" s="306"/>
      <c r="AH203" s="307" t="s">
        <v>1951</v>
      </c>
      <c r="AI203" s="310"/>
    </row>
    <row r="204" s="63" customFormat="1" ht="15" customHeight="1">
      <c r="D204" s="1343"/>
      <c r="E204" s="323"/>
      <c r="F204" s="323"/>
      <c r="G204" s="301"/>
      <c r="H204" s="1344"/>
      <c r="I204" s="1345"/>
      <c r="J204" s="295"/>
      <c r="K204" s="1349"/>
      <c r="L204" s="301"/>
      <c r="M204" s="301"/>
      <c r="N204" s="1344"/>
      <c r="O204" s="218"/>
      <c r="P204" s="462"/>
      <c r="Q204" s="1350"/>
      <c r="R204" s="301"/>
      <c r="S204" s="301"/>
      <c r="T204" s="1346"/>
      <c r="U204" s="218"/>
      <c r="V204" s="1351"/>
      <c r="W204" s="1310"/>
      <c r="X204" s="301"/>
      <c r="Y204" s="301"/>
      <c r="Z204" s="1310"/>
      <c r="AA204" s="1353"/>
      <c r="AB204" s="1354" t="s">
        <v>1952</v>
      </c>
      <c r="AC204" s="1354"/>
      <c r="AD204" s="1354"/>
      <c r="AE204" s="1354"/>
      <c r="AF204" s="1354"/>
      <c r="AG204" s="1354"/>
      <c r="AH204" s="1354"/>
      <c r="AI204" s="1355"/>
    </row>
    <row r="205" s="63" customFormat="1" ht="15" customHeight="1">
      <c r="D205" s="1343"/>
      <c r="E205" s="323"/>
      <c r="F205" s="323"/>
      <c r="G205" s="301"/>
      <c r="H205" s="1344"/>
      <c r="I205" s="1345"/>
      <c r="J205" s="295"/>
      <c r="K205" s="1349"/>
      <c r="L205" s="301"/>
      <c r="M205" s="301"/>
      <c r="N205" s="1344"/>
      <c r="O205" s="218"/>
      <c r="P205" s="1356"/>
      <c r="Q205" s="1350"/>
      <c r="R205" s="301"/>
      <c r="S205" s="301"/>
      <c r="T205" s="1357"/>
      <c r="U205" s="1358"/>
      <c r="V205" s="307" t="s">
        <v>103</v>
      </c>
      <c r="W205" s="307"/>
      <c r="X205" s="307"/>
      <c r="Y205" s="307"/>
      <c r="Z205" s="307"/>
      <c r="AA205" s="307"/>
      <c r="AB205" s="307"/>
      <c r="AC205" s="307"/>
      <c r="AD205" s="307"/>
      <c r="AE205" s="307"/>
      <c r="AF205" s="307"/>
      <c r="AG205" s="307"/>
      <c r="AH205" s="307"/>
      <c r="AI205" s="310"/>
    </row>
    <row r="206" s="63" customFormat="1" ht="11.25" customHeight="1">
      <c r="D206" s="1343"/>
      <c r="E206" s="323"/>
      <c r="F206" s="323"/>
      <c r="G206" s="301"/>
      <c r="H206" s="1338"/>
      <c r="I206" s="1345"/>
      <c r="J206" s="1359"/>
      <c r="K206" s="1349"/>
      <c r="L206" s="301"/>
      <c r="M206" s="301"/>
      <c r="N206" s="1338"/>
      <c r="O206" s="1353"/>
      <c r="P206" s="307" t="s">
        <v>1953</v>
      </c>
      <c r="Q206" s="307"/>
      <c r="R206" s="307"/>
      <c r="S206" s="307"/>
      <c r="T206" s="307"/>
      <c r="U206" s="307"/>
      <c r="V206" s="307"/>
      <c r="W206" s="307"/>
      <c r="X206" s="307"/>
      <c r="Y206" s="307"/>
      <c r="Z206" s="307"/>
      <c r="AA206" s="307"/>
      <c r="AB206" s="307"/>
      <c r="AC206" s="307"/>
      <c r="AD206" s="307"/>
      <c r="AE206" s="307"/>
      <c r="AF206" s="307"/>
      <c r="AG206" s="307"/>
      <c r="AH206" s="307"/>
      <c r="AI206" s="310"/>
    </row>
    <row r="207" s="314" customFormat="1" ht="11.25" customHeight="1">
      <c r="D207" s="1343"/>
      <c r="E207" s="323"/>
      <c r="F207" s="323"/>
      <c r="G207" s="220"/>
      <c r="H207" s="1360"/>
      <c r="I207" s="1361"/>
      <c r="J207" s="307" t="s">
        <v>240</v>
      </c>
      <c r="K207" s="307"/>
      <c r="L207" s="307"/>
      <c r="M207" s="307"/>
      <c r="N207" s="307"/>
      <c r="O207" s="307"/>
      <c r="P207" s="307"/>
      <c r="Q207" s="307"/>
      <c r="R207" s="307"/>
      <c r="S207" s="307"/>
      <c r="T207" s="307"/>
      <c r="U207" s="307"/>
      <c r="V207" s="307"/>
      <c r="W207" s="307"/>
      <c r="X207" s="307"/>
      <c r="Y207" s="307"/>
      <c r="Z207" s="307"/>
      <c r="AA207" s="307"/>
      <c r="AB207" s="307"/>
      <c r="AC207" s="307"/>
      <c r="AD207" s="307"/>
      <c r="AE207" s="307"/>
      <c r="AF207" s="307"/>
      <c r="AG207" s="307"/>
      <c r="AH207" s="307"/>
      <c r="AI207" s="310"/>
      <c r="BK207" s="63"/>
    </row>
    <row r="208" ht="17.25" customHeight="1">
      <c r="G208" s="273"/>
      <c r="I208" s="273"/>
      <c r="J208" s="273"/>
      <c r="N208" s="63"/>
    </row>
    <row r="209" s="63" customFormat="1" ht="15" customHeight="1">
      <c r="D209" s="1343"/>
      <c r="E209" s="323"/>
      <c r="F209" s="323"/>
      <c r="G209" s="330"/>
      <c r="H209" s="331"/>
      <c r="I209" s="332"/>
      <c r="J209" s="259"/>
      <c r="K209" s="259"/>
      <c r="L209" s="260"/>
      <c r="M209" s="260"/>
      <c r="N209" s="333"/>
      <c r="O209" s="260"/>
      <c r="P209" s="259"/>
      <c r="Q209" s="259"/>
      <c r="R209" s="260"/>
      <c r="S209" s="260"/>
      <c r="T209" s="334"/>
      <c r="U209" s="260"/>
      <c r="V209" s="259"/>
      <c r="W209" s="260"/>
      <c r="X209" s="260"/>
      <c r="Y209" s="260"/>
      <c r="Z209" s="333"/>
      <c r="AA209" s="260"/>
      <c r="AB209" s="259"/>
      <c r="AC209" s="335"/>
      <c r="AD209" s="260"/>
      <c r="AE209" s="260"/>
      <c r="AF209" s="260"/>
      <c r="AG209" s="260"/>
      <c r="AH209" s="333"/>
      <c r="AI209" s="263"/>
    </row>
    <row r="210" s="63" customFormat="1" ht="15" customHeight="1">
      <c r="D210" s="1343"/>
      <c r="E210" s="323"/>
      <c r="F210" s="323"/>
      <c r="G210" s="330"/>
      <c r="H210" s="336"/>
      <c r="I210" s="337"/>
      <c r="J210" s="268"/>
      <c r="K210" s="86"/>
      <c r="L210" s="125"/>
      <c r="M210" s="125"/>
      <c r="N210" s="60"/>
      <c r="O210" s="125"/>
      <c r="P210" s="268"/>
      <c r="Q210" s="268"/>
      <c r="R210" s="125"/>
      <c r="S210" s="125"/>
      <c r="T210" s="338"/>
      <c r="U210" s="125"/>
      <c r="V210" s="268"/>
      <c r="W210" s="125"/>
      <c r="X210" s="125"/>
      <c r="Y210" s="125"/>
      <c r="Z210" s="60"/>
      <c r="AA210" s="125"/>
      <c r="AB210" s="268"/>
      <c r="AC210" s="86"/>
      <c r="AD210" s="125"/>
      <c r="AE210" s="125"/>
      <c r="AF210" s="271"/>
      <c r="AG210" s="271"/>
      <c r="AH210" s="271"/>
      <c r="AI210" s="272"/>
    </row>
    <row r="211" s="63" customFormat="1" ht="15" customHeight="1">
      <c r="D211" s="1343"/>
      <c r="E211" s="323"/>
      <c r="F211" s="323"/>
      <c r="G211" s="330"/>
      <c r="H211" s="336"/>
      <c r="I211" s="337"/>
      <c r="J211" s="268"/>
      <c r="K211" s="86"/>
      <c r="L211" s="125"/>
      <c r="M211" s="125"/>
      <c r="N211" s="60"/>
      <c r="O211" s="125"/>
      <c r="P211" s="268"/>
      <c r="Q211" s="268"/>
      <c r="R211" s="125"/>
      <c r="S211" s="125"/>
      <c r="T211" s="338"/>
      <c r="U211" s="125"/>
      <c r="V211" s="268"/>
      <c r="W211" s="125"/>
      <c r="X211" s="125"/>
      <c r="Y211" s="125"/>
      <c r="Z211" s="125"/>
      <c r="AA211" s="271"/>
      <c r="AB211" s="271"/>
      <c r="AC211" s="271"/>
      <c r="AD211" s="271"/>
      <c r="AE211" s="271"/>
      <c r="AF211" s="271"/>
      <c r="AG211" s="271"/>
      <c r="AH211" s="271"/>
      <c r="AI211" s="272"/>
    </row>
    <row r="212" s="63" customFormat="1" ht="15" customHeight="1">
      <c r="D212" s="1343"/>
      <c r="E212" s="323"/>
      <c r="F212" s="323"/>
      <c r="G212" s="330"/>
      <c r="H212" s="336"/>
      <c r="I212" s="337"/>
      <c r="J212" s="268"/>
      <c r="K212" s="86"/>
      <c r="L212" s="125"/>
      <c r="M212" s="125"/>
      <c r="N212" s="60"/>
      <c r="O212" s="125"/>
      <c r="P212" s="268"/>
      <c r="Q212" s="268"/>
      <c r="R212" s="125"/>
      <c r="S212" s="125"/>
      <c r="T212" s="339"/>
      <c r="U212" s="340"/>
      <c r="V212" s="271"/>
      <c r="W212" s="271"/>
      <c r="X212" s="271"/>
      <c r="Y212" s="271"/>
      <c r="Z212" s="271"/>
      <c r="AA212" s="271"/>
      <c r="AB212" s="271"/>
      <c r="AC212" s="271"/>
      <c r="AD212" s="271"/>
      <c r="AE212" s="271"/>
      <c r="AF212" s="271"/>
      <c r="AG212" s="271"/>
      <c r="AH212" s="271"/>
      <c r="AI212" s="272"/>
    </row>
    <row r="213" s="63" customFormat="1" ht="11.25" customHeight="1">
      <c r="D213" s="1343"/>
      <c r="E213" s="323"/>
      <c r="F213" s="323"/>
      <c r="G213" s="330"/>
      <c r="H213" s="341"/>
      <c r="I213" s="337"/>
      <c r="J213" s="268"/>
      <c r="K213" s="86"/>
      <c r="L213" s="125"/>
      <c r="M213" s="125"/>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2"/>
    </row>
    <row r="214" s="314" customFormat="1" ht="11.25" customHeight="1">
      <c r="D214" s="1343"/>
      <c r="E214" s="323"/>
      <c r="F214" s="323"/>
      <c r="G214" s="347"/>
      <c r="H214" s="345"/>
      <c r="I214" s="346"/>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80"/>
      <c r="BK214" s="63"/>
    </row>
    <row r="215" ht="17.25" customHeight="1">
      <c r="A215" s="63"/>
    </row>
  </sheetData>
  <sheetProtection autoFilter="0" deleteColumns="0" deleteRows="0" formatCells="1" formatColumns="0" formatRows="0" insertColumns="1" insertHyperlinks="1" insertRows="0" pivotTables="1" selectLockedCells="0" selectUnlockedCells="0" sheet="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isablePrompts="0">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4000AA-00A1-4303-812D-00CF00DC00F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 xr:uid="{005E0074-0059-4C75-8F20-003700170060}"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AB0023-0071-4A50-8AA0-00D2009200A3}"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3C0003-00D9-4942-BD4E-00E200290046}"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D400F8-003A-4074-98D2-009000D200B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2C0024-00F6-4089-83F3-008200300051}"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AE0084-0035-4868-905B-001200F60088}" type="list" allowBlank="1" errorStyle="stop" imeMode="noControl" operator="between" showDropDown="0" showErrorMessage="1" showInputMessage="1">
          <x14:formula1>
            <xm:f>DESCRIPTION_TERRITORY</xm:f>
          </x14:formula1>
          <xm:sqref>I34</xm:sqref>
        </x14:dataValidation>
        <x14:dataValidation xr:uid="{00F400DD-00F6-4E3F-8927-00F30066005F}"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F90011-00A5-4DA7-B7EA-00AD006D00C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13008B-00E4-478A-87C4-00BF009400D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3200F0-0070-4ED3-8997-00EC009E00DA}"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A30009-00B1-43DA-9A3A-00D400E300D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3100BF-00F1-435C-92AE-00E000B6001F}"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62" width="43.140625"/>
    <col hidden="1" min="2" max="2" style="1362" width="43.140625"/>
    <col min="3" max="3" style="1362" width="43.140625"/>
    <col customWidth="1" min="4" max="5" style="1362" width="36.421875"/>
    <col customWidth="1" min="6" max="8" style="1363" width="36.421875"/>
  </cols>
  <sheetData>
    <row r="1" ht="9" customHeight="1">
      <c r="A1" s="1364" t="s">
        <v>1954</v>
      </c>
      <c r="B1" s="1364"/>
      <c r="C1" s="1365" t="s">
        <v>1955</v>
      </c>
      <c r="D1" s="1366" t="s">
        <v>809</v>
      </c>
      <c r="E1" s="1366" t="s">
        <v>855</v>
      </c>
      <c r="F1" s="1366" t="s">
        <v>908</v>
      </c>
      <c r="G1" s="1366" t="s">
        <v>895</v>
      </c>
      <c r="H1" s="1366" t="s">
        <v>1629</v>
      </c>
    </row>
    <row r="2" ht="9" customHeight="1">
      <c r="A2" s="1367" t="s">
        <v>1956</v>
      </c>
      <c r="B2" s="1367"/>
      <c r="C2" s="1368" t="str">
        <f>INDEX(TEMPLATE_NUMBER_FORM_LIST,MATCH(TEMPLATE_SPHERE,TEMPLATE_SPHERE_LIST,0))</f>
        <v>10</v>
      </c>
      <c r="D2" s="1367" t="s">
        <v>1478</v>
      </c>
      <c r="E2" s="1367" t="s">
        <v>148</v>
      </c>
      <c r="F2" s="1369" t="s">
        <v>148</v>
      </c>
      <c r="G2" s="1367" t="s">
        <v>148</v>
      </c>
      <c r="H2" s="1370"/>
    </row>
    <row r="3" ht="63" customHeight="1">
      <c r="A3" s="1364"/>
      <c r="B3" s="1364" t="s">
        <v>109</v>
      </c>
      <c r="C3" s="1368" t="str">
        <f t="shared" ref="C3:C5" si="57">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368" t="s">
        <v>1957</v>
      </c>
      <c r="E3" s="13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369"/>
      <c r="G3" s="1370"/>
      <c r="H3" s="1364"/>
    </row>
    <row r="4" ht="243" customHeight="1">
      <c r="A4" s="1364" t="s">
        <v>1958</v>
      </c>
      <c r="B4" s="1364" t="s">
        <v>110</v>
      </c>
      <c r="C4" s="1368" t="str">
        <f t="shared" si="57"/>
        <v xml:space="preserve">Форма 1. Информация об организации, осуществляющей холодное водоснабжение (общая информация)</v>
      </c>
      <c r="D4" s="1367" t="s">
        <v>1959</v>
      </c>
      <c r="E4" s="1368"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4" s="1367"/>
      <c r="G4" s="1367"/>
      <c r="H4" s="1364" t="s">
        <v>1960</v>
      </c>
    </row>
    <row r="5" ht="117" customHeight="1">
      <c r="A5" s="1364" t="s">
        <v>1961</v>
      </c>
      <c r="B5" s="1364" t="s">
        <v>90</v>
      </c>
      <c r="C5" s="1368" t="str">
        <f t="shared" si="57"/>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364" t="s">
        <v>1962</v>
      </c>
      <c r="E5" s="13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370"/>
      <c r="G5" s="1370"/>
      <c r="H5" s="1364" t="s">
        <v>1963</v>
      </c>
    </row>
    <row r="6" ht="90" customHeight="1">
      <c r="A6" s="1364" t="s">
        <v>1964</v>
      </c>
      <c r="B6" s="1364" t="s">
        <v>91</v>
      </c>
      <c r="C6" s="1368" t="str">
        <f t="shared" ref="C6:C8" si="58">IF(TEMPLATE_SPHERE="HEAT",D6,E6)</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3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3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364"/>
      <c r="G6" s="1364"/>
      <c r="H6" s="1370"/>
    </row>
    <row r="7" ht="45" customHeight="1">
      <c r="A7" s="1364" t="s">
        <v>1965</v>
      </c>
      <c r="B7" s="1364" t="s">
        <v>111</v>
      </c>
      <c r="C7" s="1368" t="str">
        <f t="shared" si="58"/>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364" t="s">
        <v>1966</v>
      </c>
      <c r="E7" s="1364" t="s">
        <v>1967</v>
      </c>
      <c r="F7" s="1370"/>
      <c r="G7" s="1370"/>
      <c r="H7" s="1370"/>
    </row>
    <row r="8" ht="108" customHeight="1">
      <c r="A8" s="1364" t="s">
        <v>1968</v>
      </c>
      <c r="B8" s="1364" t="s">
        <v>92</v>
      </c>
      <c r="C8" s="1368" t="str">
        <f t="shared" si="58"/>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364" t="s">
        <v>1166</v>
      </c>
      <c r="E8" s="1364" t="s">
        <v>1969</v>
      </c>
      <c r="F8" s="1370"/>
      <c r="G8" s="1370"/>
      <c r="H8" s="1370"/>
    </row>
    <row r="9" ht="99" customHeight="1">
      <c r="A9" s="1364" t="s">
        <v>1970</v>
      </c>
      <c r="B9" s="1364"/>
      <c r="C9" s="1364" t="s">
        <v>1971</v>
      </c>
      <c r="D9" s="1364"/>
      <c r="E9" s="1364"/>
      <c r="F9" s="1370"/>
      <c r="G9" s="1370"/>
      <c r="H9" s="1370"/>
    </row>
    <row r="10" ht="126" customHeight="1">
      <c r="A10" s="1364" t="s">
        <v>1972</v>
      </c>
      <c r="B10" s="1364"/>
      <c r="C10" s="1364" t="s">
        <v>1973</v>
      </c>
      <c r="D10" s="1364"/>
      <c r="E10" s="1364"/>
      <c r="F10" s="1370"/>
      <c r="G10" s="1370"/>
      <c r="H10" s="1370"/>
    </row>
    <row r="11" ht="108" customHeight="1">
      <c r="A11" s="1364" t="s">
        <v>1974</v>
      </c>
      <c r="B11" s="1364"/>
      <c r="C11" s="1364" t="s">
        <v>1975</v>
      </c>
      <c r="D11" s="1364"/>
      <c r="E11" s="1364"/>
      <c r="F11" s="1370"/>
      <c r="G11" s="1370"/>
      <c r="H11" s="1370"/>
    </row>
    <row r="12" ht="54" customHeight="1">
      <c r="A12" s="1364" t="s">
        <v>1976</v>
      </c>
      <c r="B12" s="1364"/>
      <c r="C12" s="1364" t="s">
        <v>1977</v>
      </c>
      <c r="D12" s="1364"/>
      <c r="E12" s="1364"/>
      <c r="F12" s="1370"/>
      <c r="G12" s="1370"/>
      <c r="H12" s="1370"/>
    </row>
    <row r="13" ht="45" customHeight="1">
      <c r="A13" s="1364" t="s">
        <v>1978</v>
      </c>
      <c r="B13" s="1364"/>
      <c r="C13" s="1364" t="s">
        <v>1979</v>
      </c>
      <c r="D13" s="1364"/>
      <c r="E13" s="1364"/>
      <c r="F13" s="1370"/>
      <c r="G13" s="1370"/>
      <c r="H13" s="1370"/>
    </row>
    <row r="14" ht="117" customHeight="1">
      <c r="A14" s="1364" t="s">
        <v>1980</v>
      </c>
      <c r="B14" s="1364"/>
      <c r="C14" s="1364" t="s">
        <v>1981</v>
      </c>
      <c r="D14" s="1364"/>
      <c r="E14" s="1364"/>
      <c r="F14" s="1370"/>
      <c r="G14" s="1370"/>
      <c r="H14" s="1370"/>
    </row>
    <row r="15" ht="117" customHeight="1">
      <c r="A15" s="1364" t="s">
        <v>1982</v>
      </c>
      <c r="B15" s="1364"/>
      <c r="C15" s="1364" t="s">
        <v>1983</v>
      </c>
      <c r="D15" s="1364"/>
      <c r="E15" s="1364"/>
      <c r="F15" s="1370"/>
      <c r="G15" s="1370"/>
      <c r="H15" s="1370"/>
    </row>
    <row r="16" ht="63" customHeight="1">
      <c r="A16" s="1364" t="s">
        <v>1984</v>
      </c>
      <c r="B16" s="1364"/>
      <c r="C16" s="1364" t="s">
        <v>1985</v>
      </c>
      <c r="D16" s="1364"/>
      <c r="E16" s="1364"/>
      <c r="F16" s="1370"/>
      <c r="G16" s="1370"/>
      <c r="H16" s="1370"/>
    </row>
    <row r="17" ht="54" customHeight="1">
      <c r="A17" s="1364" t="s">
        <v>1986</v>
      </c>
      <c r="B17" s="1364"/>
      <c r="C17" s="1368" t="s">
        <v>1987</v>
      </c>
      <c r="D17" s="1364"/>
      <c r="E17" s="1364"/>
      <c r="F17" s="1370"/>
      <c r="G17" s="1370"/>
      <c r="H17" s="1370"/>
    </row>
    <row r="18" ht="27" customHeight="1">
      <c r="A18" s="1364" t="s">
        <v>1988</v>
      </c>
      <c r="B18" s="1364"/>
      <c r="C18" s="1368" t="s">
        <v>1989</v>
      </c>
      <c r="D18" s="1364"/>
      <c r="E18" s="1364"/>
      <c r="F18" s="1370"/>
      <c r="G18" s="1370"/>
      <c r="H18" s="1370"/>
    </row>
    <row r="19" ht="54" customHeight="1">
      <c r="A19" s="1364" t="s">
        <v>1990</v>
      </c>
      <c r="B19" s="1364"/>
      <c r="C19" s="1368" t="s">
        <v>1991</v>
      </c>
      <c r="D19" s="1364"/>
      <c r="E19" s="1364"/>
      <c r="F19" s="1370"/>
      <c r="G19" s="1370"/>
      <c r="H19" s="1370"/>
    </row>
    <row r="20" ht="36" customHeight="1">
      <c r="A20" s="1364" t="s">
        <v>1992</v>
      </c>
      <c r="B20" s="1364"/>
      <c r="C20" s="1368" t="s">
        <v>1993</v>
      </c>
      <c r="D20" s="1364"/>
      <c r="E20" s="1364"/>
      <c r="F20" s="1370"/>
      <c r="G20" s="1370"/>
      <c r="H20" s="1370"/>
    </row>
    <row r="21" ht="36" customHeight="1">
      <c r="A21" s="1364" t="s">
        <v>1994</v>
      </c>
      <c r="B21" s="1364"/>
      <c r="C21" s="1368" t="s">
        <v>1995</v>
      </c>
      <c r="D21" s="1364"/>
      <c r="E21" s="1364"/>
      <c r="F21" s="1370"/>
      <c r="G21" s="1370"/>
      <c r="H21" s="1370"/>
    </row>
    <row r="22" ht="27" customHeight="1">
      <c r="A22" s="1364" t="s">
        <v>1996</v>
      </c>
      <c r="B22" s="1364"/>
      <c r="C22" s="1368" t="s">
        <v>1997</v>
      </c>
      <c r="D22" s="1364"/>
      <c r="E22" s="1364"/>
      <c r="F22" s="1370"/>
      <c r="G22" s="1370"/>
      <c r="H22" s="1370"/>
    </row>
    <row r="23" ht="36" customHeight="1">
      <c r="A23" s="1364" t="s">
        <v>1998</v>
      </c>
      <c r="B23" s="1364"/>
      <c r="C23" s="1368" t="s">
        <v>1999</v>
      </c>
      <c r="D23" s="1364"/>
      <c r="E23" s="1364"/>
      <c r="F23" s="1370"/>
      <c r="G23" s="1370"/>
      <c r="H23" s="1370"/>
    </row>
    <row r="24" ht="28.5" customHeight="1">
      <c r="A24" s="1364" t="s">
        <v>2000</v>
      </c>
      <c r="B24" s="1364"/>
      <c r="C24" s="1368" t="s">
        <v>2001</v>
      </c>
      <c r="D24" s="1364"/>
      <c r="E24" s="1364"/>
      <c r="F24" s="1370"/>
      <c r="G24" s="1370"/>
      <c r="H24" s="1370"/>
    </row>
    <row r="25" ht="36" customHeight="1">
      <c r="A25" s="1364" t="s">
        <v>2002</v>
      </c>
      <c r="B25" s="1364"/>
      <c r="C25" s="1368" t="s">
        <v>2003</v>
      </c>
      <c r="D25" s="1364"/>
      <c r="E25" s="1364"/>
      <c r="F25" s="1370"/>
      <c r="G25" s="1370"/>
      <c r="H25" s="1370"/>
    </row>
    <row r="26" ht="27" customHeight="1">
      <c r="A26" s="1364" t="s">
        <v>2004</v>
      </c>
      <c r="B26" s="1364"/>
      <c r="C26" s="1368" t="s">
        <v>2005</v>
      </c>
      <c r="D26" s="1364"/>
      <c r="E26" s="1364"/>
      <c r="F26" s="1370"/>
      <c r="G26" s="1370"/>
      <c r="H26" s="1370"/>
    </row>
    <row r="27" ht="36" customHeight="1">
      <c r="A27" s="1364" t="s">
        <v>2006</v>
      </c>
      <c r="B27" s="1364"/>
      <c r="C27" s="1368" t="s">
        <v>2007</v>
      </c>
      <c r="D27" s="1364"/>
      <c r="E27" s="1364"/>
      <c r="F27" s="1370"/>
      <c r="G27" s="1370"/>
      <c r="H27" s="1370"/>
    </row>
    <row r="28" ht="28.5" customHeight="1">
      <c r="A28" s="1364" t="s">
        <v>2008</v>
      </c>
      <c r="B28" s="1364"/>
      <c r="C28" s="1368" t="s">
        <v>2009</v>
      </c>
      <c r="D28" s="1364"/>
      <c r="E28" s="1364"/>
      <c r="F28" s="1370"/>
      <c r="G28" s="1370"/>
      <c r="H28" s="1370"/>
    </row>
    <row r="29" ht="126" customHeight="1">
      <c r="A29" s="1364" t="s">
        <v>2010</v>
      </c>
      <c r="B29" s="1364" t="s">
        <v>1580</v>
      </c>
      <c r="C29" s="1368" t="str">
        <f t="shared" ref="C29:C32" si="59">IF(TEMPLATE_SPHERE="HEAT",D29,IF(TEMPLATE_SPHERE="TKO",H29,E29))</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364" t="s">
        <v>2011</v>
      </c>
      <c r="E29" s="13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370"/>
      <c r="G29" s="1370"/>
      <c r="H29" s="1364" t="s">
        <v>2012</v>
      </c>
    </row>
    <row r="30" ht="36" customHeight="1">
      <c r="A30" s="1364" t="s">
        <v>2013</v>
      </c>
      <c r="B30" s="1364"/>
      <c r="C30" s="1368" t="str">
        <f t="shared" si="59"/>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364" t="s">
        <v>2014</v>
      </c>
      <c r="E30" s="13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370"/>
      <c r="G30" s="1370"/>
      <c r="H30" s="1370"/>
    </row>
    <row r="31" ht="54" customHeight="1">
      <c r="A31" s="1364" t="s">
        <v>2015</v>
      </c>
      <c r="B31" s="1364"/>
      <c r="C31" s="1368" t="str">
        <f t="shared" si="59"/>
        <v xml:space="preserve">Форма 1. Информация об организации, осуществляющей холодное водоснабжение (общая информация)</v>
      </c>
      <c r="D31" s="1364" t="s">
        <v>2016</v>
      </c>
      <c r="E31" s="1371"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31" s="1370"/>
      <c r="G31" s="1370"/>
      <c r="H31" s="1370"/>
    </row>
    <row r="32" ht="198" customHeight="1">
      <c r="A32" s="1364" t="s">
        <v>2017</v>
      </c>
      <c r="B32" s="1364"/>
      <c r="C32" s="1368" t="str">
        <f t="shared" si="59"/>
        <v xml:space="preserve">Форма 7. Информация об инвестиционных программах организации холодного водоснабжения и отчетах об их исполнении</v>
      </c>
      <c r="D32" s="1364" t="s">
        <v>2018</v>
      </c>
      <c r="E32" s="1371"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холодного водоснабжения и отчетах об их исполнении</v>
      </c>
      <c r="F32" s="1370"/>
      <c r="G32" s="1370"/>
      <c r="H32" s="1364" t="s">
        <v>2019</v>
      </c>
    </row>
    <row r="33" ht="9" customHeight="1">
      <c r="A33" s="1364"/>
      <c r="B33" s="1364"/>
      <c r="C33" s="1368"/>
      <c r="D33" s="1364"/>
      <c r="E33" s="1364"/>
      <c r="F33" s="1370"/>
      <c r="G33" s="1370"/>
      <c r="H33" s="1370"/>
    </row>
    <row r="34" ht="9" customHeight="1">
      <c r="A34" s="1364"/>
      <c r="B34" s="1364" t="s">
        <v>1516</v>
      </c>
      <c r="C34" s="1368">
        <f>INDEX(TEMPLATE_NAME_FORM_LIST,B34,MATCH(TEMPLATE_SPHERE,TEMPLATE_SPHERE_LIST,0))</f>
        <v>0</v>
      </c>
      <c r="D34" s="1364"/>
      <c r="E34" s="1364"/>
      <c r="F34" s="1370"/>
      <c r="G34" s="1370"/>
      <c r="H34" s="1370"/>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62" width="9.140625"/>
    <col customWidth="1" min="3" max="7" style="1372" width="8.00390625"/>
    <col customWidth="1" min="8" max="12" style="1372" width="8.57421875"/>
    <col customWidth="1" min="13" max="14" style="1372" width="27.7109375"/>
    <col customWidth="1" min="15" max="19" style="1372" width="5.140625"/>
    <col customWidth="1" min="20" max="24" style="1372" width="27.7109375"/>
    <col customWidth="1" min="25" max="25" style="1373" width="1.8515625"/>
    <col customWidth="1" min="26" max="26" style="1362" width="27.7109375"/>
    <col customWidth="1" min="27" max="27" style="1374" width="27.7109375"/>
    <col customWidth="1" min="28" max="29" style="1362" width="27.7109375"/>
    <col customWidth="1" min="30" max="30" style="1362" width="3.8515625"/>
    <col min="31" max="34" style="1362" width="9.140625"/>
  </cols>
  <sheetData>
    <row r="1" s="1375" customFormat="1" ht="18" customHeight="1">
      <c r="A1" s="1376"/>
      <c r="B1" s="1376"/>
      <c r="C1" s="1376" t="s">
        <v>2020</v>
      </c>
      <c r="D1" s="1376"/>
      <c r="E1" s="1376"/>
      <c r="F1" s="1376"/>
      <c r="G1" s="1376"/>
      <c r="H1" s="1376" t="s">
        <v>2021</v>
      </c>
      <c r="I1" s="1376"/>
      <c r="J1" s="1376"/>
      <c r="K1" s="1376"/>
      <c r="L1" s="1376"/>
      <c r="M1" s="1376" t="s">
        <v>2022</v>
      </c>
      <c r="N1" s="1376" t="s">
        <v>2023</v>
      </c>
      <c r="O1" s="1376" t="s">
        <v>2024</v>
      </c>
      <c r="P1" s="1376"/>
      <c r="Q1" s="1376"/>
      <c r="R1" s="1376"/>
      <c r="S1" s="1376"/>
      <c r="T1" s="1376" t="s">
        <v>2022</v>
      </c>
      <c r="U1" s="1376"/>
      <c r="V1" s="1376"/>
      <c r="W1" s="1376"/>
      <c r="X1" s="1376"/>
      <c r="Y1" s="1377"/>
      <c r="Z1" s="1376" t="s">
        <v>2025</v>
      </c>
      <c r="AA1" s="1376"/>
      <c r="AB1" s="1376"/>
      <c r="AC1" s="1376"/>
      <c r="AD1" s="1376"/>
    </row>
    <row r="2" ht="18" customHeight="1">
      <c r="A2" s="1364"/>
      <c r="B2" s="1364"/>
      <c r="C2" s="1378" t="s">
        <v>809</v>
      </c>
      <c r="D2" s="1378" t="s">
        <v>855</v>
      </c>
      <c r="E2" s="1378" t="s">
        <v>908</v>
      </c>
      <c r="F2" s="1378" t="s">
        <v>895</v>
      </c>
      <c r="G2" s="1378" t="s">
        <v>1629</v>
      </c>
      <c r="H2" s="1379"/>
      <c r="I2" s="1379"/>
      <c r="J2" s="1379"/>
      <c r="K2" s="1379"/>
      <c r="L2" s="1379"/>
      <c r="M2" s="1379"/>
      <c r="N2" s="1379"/>
      <c r="O2" s="1378" t="s">
        <v>809</v>
      </c>
      <c r="P2" s="1378" t="s">
        <v>855</v>
      </c>
      <c r="Q2" s="1378" t="s">
        <v>895</v>
      </c>
      <c r="R2" s="1378" t="s">
        <v>908</v>
      </c>
      <c r="S2" s="1378" t="s">
        <v>1629</v>
      </c>
      <c r="T2" s="1378" t="s">
        <v>809</v>
      </c>
      <c r="U2" s="1378" t="s">
        <v>855</v>
      </c>
      <c r="V2" s="1378" t="s">
        <v>895</v>
      </c>
      <c r="W2" s="1378" t="s">
        <v>908</v>
      </c>
      <c r="X2" s="1378" t="s">
        <v>1629</v>
      </c>
      <c r="Y2" s="1378"/>
      <c r="Z2" s="1378" t="s">
        <v>809</v>
      </c>
      <c r="AA2" s="1380" t="s">
        <v>855</v>
      </c>
      <c r="AB2" s="1378" t="s">
        <v>895</v>
      </c>
      <c r="AC2" s="1378" t="s">
        <v>908</v>
      </c>
      <c r="AD2" s="1378" t="s">
        <v>1629</v>
      </c>
    </row>
    <row r="3" ht="162" customHeight="1">
      <c r="A3" s="1381" t="s">
        <v>26</v>
      </c>
      <c r="B3" s="1381"/>
      <c r="C3" s="1382" t="s">
        <v>2026</v>
      </c>
      <c r="D3" s="1383"/>
      <c r="E3" s="1383"/>
      <c r="F3" s="1384"/>
      <c r="G3" s="1379"/>
      <c r="H3" s="1379"/>
      <c r="I3" s="1379"/>
      <c r="J3" s="1379"/>
      <c r="K3" s="1379"/>
      <c r="L3" s="1379"/>
      <c r="M3" s="1379"/>
      <c r="N3" s="1385" t="str">
        <f>INDEX(TEMPLATE_ORG_DATA_POINT,1,MATCH(TEMPLATE_SPHERE,TEMPLATE_SPHERE_LIST_FOR_NOTE,0))</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379"/>
      <c r="P3" s="1379"/>
      <c r="Q3" s="1379"/>
      <c r="R3" s="1379"/>
      <c r="S3" s="1379"/>
      <c r="T3" s="1379"/>
      <c r="U3" s="1379"/>
      <c r="V3" s="1379"/>
      <c r="W3" s="1379"/>
      <c r="X3" s="1379"/>
      <c r="Y3" s="1386"/>
      <c r="Z3" s="1364" t="s">
        <v>2027</v>
      </c>
      <c r="AA3" s="1379" t="s">
        <v>2028</v>
      </c>
      <c r="AB3" s="1364" t="s">
        <v>2029</v>
      </c>
      <c r="AC3" s="1364" t="s">
        <v>2030</v>
      </c>
      <c r="AD3" s="1364"/>
      <c r="AG3" s="1364"/>
      <c r="AH3" s="1364"/>
    </row>
    <row r="4" ht="9" customHeight="1">
      <c r="A4" s="1381"/>
      <c r="B4" s="1381"/>
      <c r="C4" s="1379"/>
      <c r="D4" s="1379"/>
      <c r="E4" s="1379"/>
      <c r="F4" s="1379"/>
      <c r="G4" s="1379"/>
      <c r="H4" s="1379"/>
      <c r="I4" s="1379"/>
      <c r="J4" s="1379"/>
      <c r="K4" s="1379"/>
      <c r="L4" s="1379"/>
      <c r="M4" s="1379"/>
      <c r="N4" s="1379"/>
      <c r="O4" s="1379"/>
      <c r="P4" s="1379"/>
      <c r="Q4" s="1379"/>
      <c r="R4" s="1379"/>
      <c r="S4" s="1379"/>
      <c r="T4" s="1379"/>
      <c r="U4" s="1379"/>
      <c r="V4" s="1379"/>
      <c r="W4" s="1379"/>
      <c r="X4" s="1379"/>
      <c r="Y4" s="1386"/>
      <c r="Z4" s="1364"/>
      <c r="AA4" s="1371"/>
      <c r="AB4" s="1364"/>
      <c r="AC4" s="1364"/>
      <c r="AD4" s="1364"/>
    </row>
    <row r="5" ht="9" customHeight="1">
      <c r="A5" s="1381"/>
      <c r="B5" s="1381"/>
      <c r="C5" s="1379"/>
      <c r="D5" s="1379"/>
      <c r="E5" s="1379"/>
      <c r="F5" s="1379"/>
      <c r="G5" s="1379"/>
      <c r="H5" s="1379"/>
      <c r="I5" s="1379"/>
      <c r="J5" s="1379"/>
      <c r="K5" s="1379"/>
      <c r="L5" s="1379"/>
      <c r="M5" s="1379"/>
      <c r="N5" s="1379"/>
      <c r="O5" s="1379"/>
      <c r="P5" s="1379"/>
      <c r="Q5" s="1379"/>
      <c r="R5" s="1379"/>
      <c r="S5" s="1379"/>
      <c r="T5" s="1379"/>
      <c r="U5" s="1379"/>
      <c r="V5" s="1379"/>
      <c r="W5" s="1379"/>
      <c r="X5" s="1379"/>
      <c r="Y5" s="1386"/>
      <c r="Z5" s="1364"/>
      <c r="AA5" s="1371"/>
      <c r="AB5" s="1364"/>
      <c r="AC5" s="1364"/>
      <c r="AD5" s="1364"/>
    </row>
    <row r="6" ht="9" customHeight="1">
      <c r="A6" s="1381"/>
      <c r="B6" s="1381"/>
      <c r="C6" s="1379"/>
      <c r="D6" s="1379"/>
      <c r="E6" s="1379"/>
      <c r="F6" s="1379"/>
      <c r="G6" s="1379"/>
      <c r="H6" s="1379"/>
      <c r="I6" s="1379"/>
      <c r="J6" s="1379"/>
      <c r="K6" s="1379"/>
      <c r="L6" s="1379"/>
      <c r="M6" s="1379"/>
      <c r="N6" s="1379"/>
      <c r="O6" s="1379"/>
      <c r="P6" s="1379"/>
      <c r="Q6" s="1379"/>
      <c r="R6" s="1379"/>
      <c r="S6" s="1379"/>
      <c r="T6" s="1379"/>
      <c r="U6" s="1379"/>
      <c r="V6" s="1379"/>
      <c r="W6" s="1379"/>
      <c r="X6" s="1379"/>
      <c r="Y6" s="1386"/>
      <c r="Z6" s="1364"/>
      <c r="AA6" s="1371"/>
      <c r="AB6" s="1364"/>
      <c r="AC6" s="1364"/>
      <c r="AD6" s="1364"/>
    </row>
    <row r="7" ht="9" customHeight="1">
      <c r="A7" s="1381"/>
      <c r="B7" s="1381"/>
      <c r="C7" s="1379"/>
      <c r="D7" s="1379"/>
      <c r="E7" s="1379"/>
      <c r="F7" s="1379"/>
      <c r="G7" s="1379"/>
      <c r="H7" s="1379"/>
      <c r="I7" s="1379"/>
      <c r="J7" s="1379"/>
      <c r="K7" s="1379"/>
      <c r="L7" s="1379"/>
      <c r="M7" s="1379"/>
      <c r="N7" s="1379"/>
      <c r="O7" s="1379"/>
      <c r="P7" s="1379"/>
      <c r="Q7" s="1379"/>
      <c r="R7" s="1379"/>
      <c r="S7" s="1379"/>
      <c r="T7" s="1379"/>
      <c r="U7" s="1379"/>
      <c r="V7" s="1379"/>
      <c r="W7" s="1379"/>
      <c r="X7" s="1379"/>
      <c r="Y7" s="1386"/>
      <c r="Z7" s="1364"/>
      <c r="AA7" s="1371"/>
      <c r="AB7" s="1364"/>
      <c r="AC7" s="1364"/>
      <c r="AD7" s="1364"/>
    </row>
    <row r="8" ht="9" customHeight="1">
      <c r="A8" s="1381"/>
      <c r="B8" s="1381"/>
      <c r="C8" s="1379"/>
      <c r="D8" s="1379"/>
      <c r="E8" s="1379"/>
      <c r="F8" s="1379"/>
      <c r="G8" s="1379"/>
      <c r="H8" s="1379"/>
      <c r="I8" s="1379"/>
      <c r="J8" s="1379"/>
      <c r="K8" s="1379"/>
      <c r="L8" s="1379"/>
      <c r="M8" s="1379"/>
      <c r="N8" s="1379"/>
      <c r="O8" s="1379"/>
      <c r="P8" s="1379"/>
      <c r="Q8" s="1379"/>
      <c r="R8" s="1379"/>
      <c r="S8" s="1379"/>
      <c r="T8" s="1379"/>
      <c r="U8" s="1379"/>
      <c r="V8" s="1379"/>
      <c r="W8" s="1379"/>
      <c r="X8" s="1379"/>
      <c r="Y8" s="1386"/>
      <c r="Z8" s="1364"/>
      <c r="AA8" s="1371"/>
      <c r="AB8" s="1364"/>
      <c r="AC8" s="1364"/>
      <c r="AD8" s="1364"/>
    </row>
    <row r="9" ht="9" customHeight="1">
      <c r="A9" s="1381"/>
      <c r="B9" s="1381"/>
      <c r="C9" s="1379"/>
      <c r="D9" s="1379"/>
      <c r="E9" s="1379"/>
      <c r="F9" s="1379"/>
      <c r="G9" s="1379"/>
      <c r="H9" s="1379"/>
      <c r="I9" s="1379"/>
      <c r="J9" s="1379"/>
      <c r="K9" s="1379"/>
      <c r="L9" s="1379"/>
      <c r="M9" s="1379"/>
      <c r="N9" s="1379"/>
      <c r="O9" s="1379"/>
      <c r="P9" s="1379"/>
      <c r="Q9" s="1379"/>
      <c r="R9" s="1379"/>
      <c r="S9" s="1379"/>
      <c r="T9" s="1379"/>
      <c r="U9" s="1379"/>
      <c r="V9" s="1379"/>
      <c r="W9" s="1379"/>
      <c r="X9" s="1379"/>
      <c r="Y9" s="1386"/>
      <c r="Z9" s="1364"/>
      <c r="AA9" s="1371"/>
      <c r="AB9" s="1364"/>
      <c r="AC9" s="1364"/>
      <c r="AD9" s="1364"/>
    </row>
    <row r="10" ht="9" customHeight="1">
      <c r="A10" s="1387"/>
      <c r="B10" s="1387"/>
      <c r="C10" s="1387"/>
      <c r="D10" s="1387"/>
      <c r="E10" s="1387"/>
      <c r="F10" s="1387"/>
      <c r="G10" s="1387"/>
      <c r="H10" s="1387"/>
      <c r="I10" s="1387"/>
      <c r="J10" s="1387"/>
      <c r="K10" s="1387"/>
      <c r="L10" s="1387"/>
      <c r="M10" s="1387"/>
      <c r="N10" s="1387"/>
      <c r="O10" s="1387"/>
      <c r="P10" s="1387"/>
      <c r="Q10" s="1387"/>
      <c r="R10" s="1387"/>
      <c r="S10" s="1387"/>
      <c r="T10" s="1387"/>
      <c r="U10" s="1387"/>
      <c r="V10" s="1387"/>
      <c r="W10" s="1387"/>
      <c r="X10" s="1387"/>
      <c r="Y10" s="1387"/>
      <c r="Z10" s="1387"/>
      <c r="AA10" s="1387"/>
      <c r="AB10" s="1387"/>
      <c r="AC10" s="1387"/>
      <c r="AD10" s="1387"/>
    </row>
    <row r="11" ht="45" customHeight="1">
      <c r="A11" s="1387" t="s">
        <v>33</v>
      </c>
      <c r="B11" s="1387">
        <v>1</v>
      </c>
      <c r="C11" s="1388" t="s">
        <v>1567</v>
      </c>
      <c r="D11" s="1388" t="s">
        <v>1563</v>
      </c>
      <c r="E11" s="1388" t="s">
        <v>1662</v>
      </c>
      <c r="F11" s="1388" t="s">
        <v>2031</v>
      </c>
      <c r="G11" s="1388"/>
      <c r="H11" s="1376" t="s">
        <v>2032</v>
      </c>
      <c r="I11" s="1376"/>
      <c r="J11" s="1376"/>
      <c r="K11" s="1376"/>
      <c r="L11" s="1376"/>
      <c r="M11" s="1385" t="str">
        <f t="shared" ref="M11:M15" si="60">IF(TEMPLATE_SPHERE="HEAT",T11,U11)</f>
        <v xml:space="preserve">Количество поданных заявлений</v>
      </c>
      <c r="N11" s="1385" t="str">
        <f t="shared" ref="N11:N16" si="61">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379"/>
      <c r="P11" s="1379"/>
      <c r="Q11" s="1379"/>
      <c r="R11" s="1379"/>
      <c r="S11" s="1379"/>
      <c r="T11" s="1379" t="s">
        <v>2033</v>
      </c>
      <c r="U11" s="1379" t="s">
        <v>2034</v>
      </c>
      <c r="V11" s="1379"/>
      <c r="W11" s="1379"/>
      <c r="X11" s="1379"/>
      <c r="Y11" s="1386"/>
      <c r="Z11" s="1364" t="s">
        <v>2035</v>
      </c>
      <c r="AA11" s="13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364"/>
      <c r="AC11" s="1364"/>
      <c r="AD11" s="1364"/>
    </row>
    <row r="12" ht="45" customHeight="1">
      <c r="A12" s="1387"/>
      <c r="B12" s="1387">
        <v>2</v>
      </c>
      <c r="C12" s="1389"/>
      <c r="D12" s="1389"/>
      <c r="E12" s="1389"/>
      <c r="F12" s="1389"/>
      <c r="G12" s="1389"/>
      <c r="H12" s="1376" t="s">
        <v>2036</v>
      </c>
      <c r="I12" s="1376"/>
      <c r="J12" s="1376"/>
      <c r="K12" s="1376"/>
      <c r="L12" s="1376"/>
      <c r="M12" s="1385" t="str">
        <f t="shared" si="60"/>
        <v xml:space="preserve">Количество исполненных заявлений</v>
      </c>
      <c r="N12" s="1385" t="str">
        <f t="shared" si="61"/>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379"/>
      <c r="P12" s="1379"/>
      <c r="Q12" s="1379"/>
      <c r="R12" s="1379"/>
      <c r="S12" s="1379"/>
      <c r="T12" s="1379" t="s">
        <v>2037</v>
      </c>
      <c r="U12" s="1379" t="s">
        <v>2038</v>
      </c>
      <c r="V12" s="1379"/>
      <c r="W12" s="1379"/>
      <c r="X12" s="1379"/>
      <c r="Y12" s="1386"/>
      <c r="Z12" s="1364" t="s">
        <v>2039</v>
      </c>
      <c r="AA12" s="13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364"/>
      <c r="AC12" s="1364"/>
      <c r="AD12" s="1364"/>
    </row>
    <row r="13" ht="72" customHeight="1">
      <c r="A13" s="1387"/>
      <c r="B13" s="1387">
        <v>3</v>
      </c>
      <c r="C13" s="1389"/>
      <c r="D13" s="1389"/>
      <c r="E13" s="1389"/>
      <c r="F13" s="1389"/>
      <c r="G13" s="1389"/>
      <c r="H13" s="1376" t="s">
        <v>2040</v>
      </c>
      <c r="I13" s="1376"/>
      <c r="J13" s="1376"/>
      <c r="K13" s="1376"/>
      <c r="L13" s="1376"/>
      <c r="M13" s="1385" t="str">
        <f t="shared" si="60"/>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385" t="str">
        <f t="shared" si="61"/>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379"/>
      <c r="P13" s="1385"/>
      <c r="Q13" s="1385"/>
      <c r="R13" s="1385"/>
      <c r="S13" s="1379"/>
      <c r="T13" s="1379" t="s">
        <v>2041</v>
      </c>
      <c r="U13" s="1385" t="s">
        <v>2042</v>
      </c>
      <c r="V13" s="1385"/>
      <c r="W13" s="1385"/>
      <c r="X13" s="1379"/>
      <c r="Y13" s="1386"/>
      <c r="Z13" s="1364" t="s">
        <v>2043</v>
      </c>
      <c r="AA13" s="13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364"/>
      <c r="AC13" s="1364"/>
      <c r="AD13" s="1364"/>
    </row>
    <row r="14" ht="45" customHeight="1">
      <c r="A14" s="1387"/>
      <c r="B14" s="1387">
        <v>4</v>
      </c>
      <c r="C14" s="1389"/>
      <c r="D14" s="1389"/>
      <c r="E14" s="1389"/>
      <c r="F14" s="1389"/>
      <c r="G14" s="1389"/>
      <c r="H14" s="1376"/>
      <c r="I14" s="1388"/>
      <c r="J14" s="1388"/>
      <c r="K14" s="1388"/>
      <c r="L14" s="1388"/>
      <c r="M14" s="1390" t="str">
        <f t="shared" si="60"/>
        <v xml:space="preserve">Причины отказа в заключении договора о подключении (технологическом присоединении) к централизованной системе холодного водоснабжения</v>
      </c>
      <c r="N14" s="1385"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79"/>
      <c r="P14" s="1385"/>
      <c r="Q14" s="1385"/>
      <c r="R14" s="1385"/>
      <c r="S14" s="1379"/>
      <c r="T14" s="1379" t="s">
        <v>2044</v>
      </c>
      <c r="U14" s="1385"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холодного водоснабжения</v>
      </c>
      <c r="V14" s="1385"/>
      <c r="W14" s="1385"/>
      <c r="X14" s="1379"/>
      <c r="Y14" s="1386"/>
      <c r="Z14" s="1364" t="s">
        <v>2045</v>
      </c>
      <c r="AA14" s="1371" t="s">
        <v>2045</v>
      </c>
      <c r="AB14" s="1364"/>
      <c r="AC14" s="1364"/>
      <c r="AD14" s="1364"/>
    </row>
    <row r="15" ht="108" customHeight="1">
      <c r="A15" s="1387"/>
      <c r="B15" s="1387">
        <v>5</v>
      </c>
      <c r="C15" s="1389"/>
      <c r="D15" s="1389"/>
      <c r="E15" s="1389"/>
      <c r="F15" s="1389"/>
      <c r="G15" s="1389"/>
      <c r="H15" s="1391" t="s">
        <v>2046</v>
      </c>
      <c r="I15" s="1391"/>
      <c r="J15" s="1391"/>
      <c r="K15" s="1391"/>
      <c r="L15" s="1391"/>
      <c r="M15" s="1371" t="str">
        <f t="shared" si="60"/>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392" t="str">
        <f t="shared" si="61"/>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379"/>
      <c r="P15" s="1385"/>
      <c r="Q15" s="1385"/>
      <c r="R15" s="1385"/>
      <c r="S15" s="1379"/>
      <c r="T15" s="1379" t="s">
        <v>2047</v>
      </c>
      <c r="U15" s="138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385"/>
      <c r="W15" s="1385"/>
      <c r="X15" s="1379"/>
      <c r="Y15" s="1386"/>
      <c r="Z15" s="1364" t="s">
        <v>2048</v>
      </c>
      <c r="AA15" s="13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364"/>
      <c r="AC15" s="1364"/>
      <c r="AD15" s="1364"/>
    </row>
    <row r="16" ht="108" customHeight="1">
      <c r="A16" s="1387"/>
      <c r="B16" s="1387">
        <v>6</v>
      </c>
      <c r="C16" s="1393"/>
      <c r="D16" s="1393"/>
      <c r="E16" s="1393"/>
      <c r="F16" s="1393"/>
      <c r="G16" s="1393"/>
      <c r="H16" s="1394"/>
      <c r="I16" s="1395"/>
      <c r="J16" s="1395"/>
      <c r="K16" s="1395"/>
      <c r="L16" s="1395"/>
      <c r="M16" s="1396"/>
      <c r="N16" s="1392" t="str">
        <f t="shared" si="61"/>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379"/>
      <c r="P16" s="1385"/>
      <c r="Q16" s="1385"/>
      <c r="R16" s="1385"/>
      <c r="S16" s="1379"/>
      <c r="T16" s="1379"/>
      <c r="U16" s="1385"/>
      <c r="V16" s="1385"/>
      <c r="W16" s="1385"/>
      <c r="X16" s="1379"/>
      <c r="Y16" s="1386"/>
      <c r="Z16" s="1364" t="s">
        <v>2048</v>
      </c>
      <c r="AA16" s="13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364"/>
      <c r="AC16" s="1364"/>
      <c r="AD16" s="1364"/>
    </row>
    <row r="17" ht="9" customHeight="1">
      <c r="A17" s="1387"/>
      <c r="B17" s="1387"/>
      <c r="C17" s="1387">
        <v>22</v>
      </c>
      <c r="D17" s="1387">
        <v>21</v>
      </c>
      <c r="E17" s="1387">
        <v>42</v>
      </c>
      <c r="F17" s="1387">
        <v>63</v>
      </c>
      <c r="G17" s="1387"/>
      <c r="H17" s="1387"/>
      <c r="I17" s="1387"/>
      <c r="J17" s="1387"/>
      <c r="K17" s="1387"/>
      <c r="L17" s="1387"/>
      <c r="M17" s="1387"/>
      <c r="N17" s="1387"/>
      <c r="O17" s="1387"/>
      <c r="P17" s="1387"/>
      <c r="Q17" s="1387"/>
      <c r="R17" s="1387"/>
      <c r="S17" s="1387"/>
      <c r="T17" s="1387"/>
      <c r="U17" s="1387"/>
      <c r="V17" s="1387"/>
      <c r="W17" s="1387"/>
      <c r="X17" s="1387"/>
      <c r="Y17" s="1387"/>
      <c r="Z17" s="1387"/>
      <c r="AA17" s="1387"/>
      <c r="AB17" s="1387"/>
      <c r="AC17" s="1387"/>
      <c r="AD17" s="1387"/>
    </row>
    <row r="18" ht="27" customHeight="1">
      <c r="A18" s="1381" t="s">
        <v>1664</v>
      </c>
      <c r="B18" s="1387">
        <v>1</v>
      </c>
      <c r="C18" s="1379" t="s">
        <v>2032</v>
      </c>
      <c r="D18" s="1397" t="s">
        <v>2032</v>
      </c>
      <c r="E18" s="1379" t="s">
        <v>2032</v>
      </c>
      <c r="F18" s="1379" t="s">
        <v>2032</v>
      </c>
      <c r="G18" s="1379"/>
      <c r="H18" s="1398"/>
      <c r="I18" s="1399">
        <f t="shared" ref="I18:I81" si="62">INDEX(TEMPLATE_NUMBER_POINT_FHD,B18,MATCH(TEMPLATE_SPHERE,TEMPLATE_SPHERE_LIST_FOR_NOTE,0))</f>
        <v>1</v>
      </c>
      <c r="J18" s="1399" t="str">
        <f t="shared" ref="J18:J81" si="63">INDEX(TEMPLATE_DATA_POINT_FHD,B18,MATCH(TEMPLATE_SPHERE,TEMPLATE_SPHERE_LIST_FOR_NOTE,0))</f>
        <v xml:space="preserve">Выручка от регулируемых видов деятельности в сфере холодного водоснабжения</v>
      </c>
      <c r="K18" s="1399" t="str">
        <f t="shared" ref="K18:K81" si="64">INDEX(TEMPLATE_NOTE_POINT_FHD,B18,MATCH(TEMPLATE_SPHERE,TEMPLATE_SPHERE_LIST_FOR_NOTE,0))</f>
        <v xml:space="preserve">Указывается выручка с распределением по видам деятельности.</v>
      </c>
      <c r="L18" s="1385">
        <f t="shared" ref="L18:L81" si="65">IF(I18=0,"",I18)</f>
        <v>1</v>
      </c>
      <c r="M18" s="1385" t="str">
        <f t="shared" ref="M18:M81" si="66">IF(J18=0,"",J18)</f>
        <v xml:space="preserve">Выручка от регулируемых видов деятельности в сфере холодного водоснабжения</v>
      </c>
      <c r="N18" s="1385" t="str">
        <f t="shared" ref="N18:N81" si="67">IF(K18=0,"",K18)</f>
        <v xml:space="preserve">Указывается выручка с распределением по видам деятельности.</v>
      </c>
      <c r="O18" s="1400">
        <v>1</v>
      </c>
      <c r="P18" s="1400">
        <v>1</v>
      </c>
      <c r="Q18" s="1400">
        <v>1</v>
      </c>
      <c r="R18" s="1400">
        <v>1</v>
      </c>
      <c r="S18" s="1400"/>
      <c r="T18" s="1401" t="s">
        <v>2049</v>
      </c>
      <c r="U18" s="1364" t="s">
        <v>2050</v>
      </c>
      <c r="V18" s="1364" t="s">
        <v>2051</v>
      </c>
      <c r="W18" s="1364" t="s">
        <v>2052</v>
      </c>
      <c r="X18" s="1379"/>
      <c r="Y18" s="1386"/>
      <c r="Z18" s="1364" t="s">
        <v>2053</v>
      </c>
      <c r="AA18" s="1371" t="s">
        <v>2054</v>
      </c>
      <c r="AB18" s="1371" t="s">
        <v>2054</v>
      </c>
      <c r="AC18" s="1371" t="s">
        <v>2054</v>
      </c>
      <c r="AD18" s="1364"/>
    </row>
    <row r="19" ht="36" customHeight="1">
      <c r="A19" s="1381"/>
      <c r="B19" s="1387">
        <v>2</v>
      </c>
      <c r="C19" s="1379" t="s">
        <v>2036</v>
      </c>
      <c r="D19" s="1397" t="s">
        <v>2036</v>
      </c>
      <c r="E19" s="1379" t="s">
        <v>2036</v>
      </c>
      <c r="F19" s="1379" t="s">
        <v>2036</v>
      </c>
      <c r="G19" s="1379"/>
      <c r="H19" s="1398"/>
      <c r="I19" s="1399">
        <f t="shared" si="62"/>
        <v>2</v>
      </c>
      <c r="J19" s="1399" t="str">
        <f t="shared" si="63"/>
        <v xml:space="preserve">Себестоимость производимых товаров (оказываемых услуг) по регулируемым видам деятельности в сфере холодного водоснабжения, включая:</v>
      </c>
      <c r="K19" s="1399" t="str">
        <f t="shared" si="64"/>
        <v xml:space="preserve">Указывается суммарная себестоимость производимых товаров.</v>
      </c>
      <c r="L19" s="1385">
        <f t="shared" si="65"/>
        <v>2</v>
      </c>
      <c r="M19" s="1385" t="str">
        <f t="shared" si="66"/>
        <v xml:space="preserve">Себестоимость производимых товаров (оказываемых услуг) по регулируемым видам деятельности в сфере холодного водоснабжения, включая:</v>
      </c>
      <c r="N19" s="1385" t="str">
        <f t="shared" si="67"/>
        <v xml:space="preserve">Указывается суммарная себестоимость производимых товаров.</v>
      </c>
      <c r="O19" s="1400">
        <v>2</v>
      </c>
      <c r="P19" s="1400">
        <v>2</v>
      </c>
      <c r="Q19" s="1400">
        <v>2</v>
      </c>
      <c r="R19" s="1400">
        <v>2</v>
      </c>
      <c r="S19" s="1400"/>
      <c r="T19" s="1401" t="s">
        <v>2055</v>
      </c>
      <c r="U19" s="1364" t="s">
        <v>2056</v>
      </c>
      <c r="V19" s="1364" t="s">
        <v>2057</v>
      </c>
      <c r="W19" s="1364" t="s">
        <v>2058</v>
      </c>
      <c r="X19" s="1379"/>
      <c r="Y19" s="1386"/>
      <c r="Z19" s="1364" t="s">
        <v>2059</v>
      </c>
      <c r="AA19" s="1371" t="s">
        <v>2059</v>
      </c>
      <c r="AB19" s="1371" t="s">
        <v>2059</v>
      </c>
      <c r="AC19" s="1371" t="s">
        <v>2059</v>
      </c>
      <c r="AD19" s="1364"/>
    </row>
    <row r="20" ht="27" customHeight="1">
      <c r="A20" s="1381"/>
      <c r="B20" s="1387">
        <v>3</v>
      </c>
      <c r="C20" s="1379">
        <v>1</v>
      </c>
      <c r="D20" s="1397"/>
      <c r="E20" s="1379"/>
      <c r="F20" s="1379"/>
      <c r="G20" s="1379"/>
      <c r="H20" s="1398"/>
      <c r="I20" s="1399" t="str">
        <f t="shared" si="62"/>
        <v>2.1</v>
      </c>
      <c r="J20" s="1399" t="str">
        <f t="shared" si="63"/>
        <v xml:space="preserve">Расходы на оплату холодной воды, приобретаемой у других организаций для последующей подачи потребителям</v>
      </c>
      <c r="K20" s="1399">
        <f t="shared" si="64"/>
        <v>0</v>
      </c>
      <c r="L20" s="1385" t="str">
        <f t="shared" si="65"/>
        <v>2.1</v>
      </c>
      <c r="M20" s="1385" t="str">
        <f t="shared" si="66"/>
        <v xml:space="preserve">Расходы на оплату холодной воды, приобретаемой у других организаций для последующей подачи потребителям</v>
      </c>
      <c r="N20" s="1385" t="str">
        <f t="shared" si="67"/>
        <v/>
      </c>
      <c r="O20" s="1400" t="s">
        <v>710</v>
      </c>
      <c r="P20" s="1400" t="s">
        <v>710</v>
      </c>
      <c r="Q20" s="1400" t="s">
        <v>710</v>
      </c>
      <c r="R20" s="1400" t="s">
        <v>710</v>
      </c>
      <c r="S20" s="1400"/>
      <c r="T20" s="1401" t="s">
        <v>2060</v>
      </c>
      <c r="U20" s="1364" t="s">
        <v>2061</v>
      </c>
      <c r="V20" s="1364" t="s">
        <v>2062</v>
      </c>
      <c r="W20" s="1364" t="s">
        <v>2063</v>
      </c>
      <c r="X20" s="1379"/>
      <c r="Y20" s="1386"/>
      <c r="Z20" s="1364"/>
      <c r="AA20" s="1371"/>
      <c r="AB20" s="1364"/>
      <c r="AC20" s="1364"/>
      <c r="AD20" s="1364"/>
    </row>
    <row r="21" ht="36" customHeight="1">
      <c r="A21" s="1381"/>
      <c r="B21" s="1387">
        <v>4</v>
      </c>
      <c r="C21" s="1379">
        <v>2</v>
      </c>
      <c r="D21" s="1397"/>
      <c r="E21" s="1379"/>
      <c r="F21" s="1379"/>
      <c r="G21" s="1379"/>
      <c r="H21" s="1398"/>
      <c r="I21" s="1399">
        <f t="shared" si="62"/>
        <v>0</v>
      </c>
      <c r="J21" s="1399">
        <f t="shared" si="63"/>
        <v>0</v>
      </c>
      <c r="K21" s="1399">
        <f t="shared" si="64"/>
        <v>0</v>
      </c>
      <c r="L21" s="1385" t="str">
        <f t="shared" si="65"/>
        <v/>
      </c>
      <c r="M21" s="1385" t="str">
        <f t="shared" si="66"/>
        <v/>
      </c>
      <c r="N21" s="1385" t="str">
        <f t="shared" si="67"/>
        <v/>
      </c>
      <c r="O21" s="1400" t="s">
        <v>309</v>
      </c>
      <c r="P21" s="1400"/>
      <c r="Q21" s="1400"/>
      <c r="R21" s="1400"/>
      <c r="S21" s="1400"/>
      <c r="T21" s="1401" t="s">
        <v>2064</v>
      </c>
      <c r="U21" s="1364"/>
      <c r="V21" s="1364"/>
      <c r="W21" s="1364"/>
      <c r="X21" s="1379"/>
      <c r="Y21" s="1386"/>
      <c r="Z21" s="1364" t="s">
        <v>2065</v>
      </c>
      <c r="AA21" s="1371"/>
      <c r="AB21" s="1364"/>
      <c r="AC21" s="1364"/>
      <c r="AD21" s="1364"/>
    </row>
    <row r="22" ht="36" customHeight="1">
      <c r="A22" s="1381"/>
      <c r="B22" s="1387">
        <v>5</v>
      </c>
      <c r="C22" s="1379">
        <v>3</v>
      </c>
      <c r="D22" s="1397"/>
      <c r="E22" s="1379"/>
      <c r="F22" s="1379"/>
      <c r="G22" s="1402"/>
      <c r="H22" s="1403"/>
      <c r="I22" s="1399">
        <f t="shared" si="62"/>
        <v>0</v>
      </c>
      <c r="J22" s="1399">
        <f t="shared" si="63"/>
        <v>0</v>
      </c>
      <c r="K22" s="1399">
        <f t="shared" si="64"/>
        <v>0</v>
      </c>
      <c r="L22" s="1385" t="str">
        <f t="shared" si="65"/>
        <v/>
      </c>
      <c r="M22" s="1385" t="str">
        <f t="shared" si="66"/>
        <v/>
      </c>
      <c r="N22" s="1385" t="str">
        <f t="shared" si="67"/>
        <v/>
      </c>
      <c r="O22" s="1400"/>
      <c r="P22" s="1400"/>
      <c r="Q22" s="1400" t="s">
        <v>309</v>
      </c>
      <c r="R22" s="1400"/>
      <c r="S22" s="1400"/>
      <c r="T22" s="1401"/>
      <c r="U22" s="1364"/>
      <c r="V22" s="1364" t="s">
        <v>2066</v>
      </c>
      <c r="W22" s="1364"/>
      <c r="X22" s="1379"/>
      <c r="Y22" s="1386"/>
      <c r="Z22" s="1364"/>
      <c r="AA22" s="1371"/>
      <c r="AB22" s="1364"/>
      <c r="AC22" s="1364"/>
      <c r="AD22" s="1364"/>
    </row>
    <row r="23" ht="27" customHeight="1">
      <c r="A23" s="1381"/>
      <c r="B23" s="1387">
        <v>6</v>
      </c>
      <c r="C23" s="1379">
        <v>4</v>
      </c>
      <c r="D23" s="1397"/>
      <c r="E23" s="1379"/>
      <c r="F23" s="1379"/>
      <c r="G23" s="1402"/>
      <c r="H23" s="1403"/>
      <c r="I23" s="1399">
        <f t="shared" si="62"/>
        <v>0</v>
      </c>
      <c r="J23" s="1399">
        <f t="shared" si="63"/>
        <v>0</v>
      </c>
      <c r="K23" s="1399">
        <f t="shared" si="64"/>
        <v>0</v>
      </c>
      <c r="L23" s="1385" t="str">
        <f t="shared" si="65"/>
        <v/>
      </c>
      <c r="M23" s="1385" t="str">
        <f t="shared" si="66"/>
        <v/>
      </c>
      <c r="N23" s="1385" t="str">
        <f t="shared" si="67"/>
        <v/>
      </c>
      <c r="O23" s="1400"/>
      <c r="P23" s="1400"/>
      <c r="Q23" s="1400" t="s">
        <v>312</v>
      </c>
      <c r="R23" s="1400"/>
      <c r="S23" s="1400"/>
      <c r="T23" s="1401"/>
      <c r="U23" s="1364"/>
      <c r="V23" s="1364" t="s">
        <v>2067</v>
      </c>
      <c r="W23" s="1364"/>
      <c r="X23" s="1379"/>
      <c r="Y23" s="1386"/>
      <c r="Z23" s="1364"/>
      <c r="AA23" s="1371"/>
      <c r="AB23" s="1364"/>
      <c r="AC23" s="1364"/>
      <c r="AD23" s="1364"/>
    </row>
    <row r="24" ht="36" customHeight="1">
      <c r="A24" s="1381"/>
      <c r="B24" s="1387">
        <v>7</v>
      </c>
      <c r="C24" s="1379">
        <v>5</v>
      </c>
      <c r="D24" s="1397"/>
      <c r="E24" s="1379"/>
      <c r="F24" s="1379"/>
      <c r="G24" s="1402"/>
      <c r="H24" s="1403"/>
      <c r="I24" s="1399">
        <f t="shared" si="62"/>
        <v>0</v>
      </c>
      <c r="J24" s="1399">
        <f t="shared" si="63"/>
        <v>0</v>
      </c>
      <c r="K24" s="1399">
        <f t="shared" si="64"/>
        <v>0</v>
      </c>
      <c r="L24" s="1385" t="str">
        <f t="shared" si="65"/>
        <v/>
      </c>
      <c r="M24" s="1385" t="str">
        <f t="shared" si="66"/>
        <v/>
      </c>
      <c r="N24" s="1385" t="str">
        <f t="shared" si="67"/>
        <v/>
      </c>
      <c r="O24" s="1400"/>
      <c r="P24" s="1400"/>
      <c r="Q24" s="1400" t="s">
        <v>730</v>
      </c>
      <c r="R24" s="1400"/>
      <c r="S24" s="1400"/>
      <c r="T24" s="1401"/>
      <c r="U24" s="1364"/>
      <c r="V24" s="1364" t="s">
        <v>2068</v>
      </c>
      <c r="W24" s="1364"/>
      <c r="X24" s="1379"/>
      <c r="Y24" s="1386"/>
      <c r="Z24" s="1364"/>
      <c r="AA24" s="1371"/>
      <c r="AB24" s="1364"/>
      <c r="AC24" s="1364"/>
      <c r="AD24" s="1364"/>
    </row>
    <row r="25" ht="36" customHeight="1">
      <c r="A25" s="1381"/>
      <c r="B25" s="1387">
        <v>8</v>
      </c>
      <c r="C25" s="1379">
        <v>6</v>
      </c>
      <c r="D25" s="1397"/>
      <c r="E25" s="1379"/>
      <c r="F25" s="1379"/>
      <c r="G25" s="1402"/>
      <c r="H25" s="1403"/>
      <c r="I25" s="1399" t="str">
        <f t="shared" si="62"/>
        <v>2.2</v>
      </c>
      <c r="J25" s="1399" t="str">
        <f t="shared" si="63"/>
        <v xml:space="preserve">Расходы на приобретаемую электрическую энергию (мощность), используемую в технологическом процессе</v>
      </c>
      <c r="K25" s="1399">
        <f t="shared" si="64"/>
        <v>0</v>
      </c>
      <c r="L25" s="1385" t="str">
        <f t="shared" si="65"/>
        <v>2.2</v>
      </c>
      <c r="M25" s="1385" t="str">
        <f t="shared" si="66"/>
        <v xml:space="preserve">Расходы на приобретаемую электрическую энергию (мощность), используемую в технологическом процессе</v>
      </c>
      <c r="N25" s="1385" t="str">
        <f t="shared" si="67"/>
        <v/>
      </c>
      <c r="O25" s="1400" t="s">
        <v>312</v>
      </c>
      <c r="P25" s="1400" t="s">
        <v>309</v>
      </c>
      <c r="Q25" s="1400" t="s">
        <v>737</v>
      </c>
      <c r="R25" s="1400" t="s">
        <v>309</v>
      </c>
      <c r="S25" s="1400"/>
      <c r="T25" s="1401" t="s">
        <v>2069</v>
      </c>
      <c r="U25" s="1364" t="s">
        <v>2069</v>
      </c>
      <c r="V25" s="1364" t="s">
        <v>2069</v>
      </c>
      <c r="W25" s="1364" t="s">
        <v>2069</v>
      </c>
      <c r="X25" s="1379"/>
      <c r="Y25" s="1386"/>
      <c r="Z25" s="1364"/>
      <c r="AA25" s="1371"/>
      <c r="AB25" s="1364"/>
      <c r="AC25" s="1364"/>
      <c r="AD25" s="1364"/>
    </row>
    <row r="26" ht="18" customHeight="1">
      <c r="A26" s="1381"/>
      <c r="B26" s="1387">
        <v>9</v>
      </c>
      <c r="C26" s="1379" t="s">
        <v>654</v>
      </c>
      <c r="D26" s="1397"/>
      <c r="E26" s="1379"/>
      <c r="F26" s="1379"/>
      <c r="G26" s="1402"/>
      <c r="H26" s="1403"/>
      <c r="I26" s="1399" t="str">
        <f t="shared" si="62"/>
        <v>2.2.1</v>
      </c>
      <c r="J26" s="1399" t="str">
        <f t="shared" si="63"/>
        <v xml:space="preserve">Средневзвешенная стоимость 1 кВт.ч (с учетом мощности)</v>
      </c>
      <c r="K26" s="1399">
        <f t="shared" si="64"/>
        <v>0</v>
      </c>
      <c r="L26" s="1385" t="str">
        <f t="shared" si="65"/>
        <v>2.2.1</v>
      </c>
      <c r="M26" s="1385" t="str">
        <f t="shared" si="66"/>
        <v xml:space="preserve">Средневзвешенная стоимость 1 кВт.ч (с учетом мощности)</v>
      </c>
      <c r="N26" s="1385" t="str">
        <f t="shared" si="67"/>
        <v/>
      </c>
      <c r="O26" s="1400" t="s">
        <v>726</v>
      </c>
      <c r="P26" s="1400" t="s">
        <v>720</v>
      </c>
      <c r="Q26" s="1400" t="s">
        <v>2070</v>
      </c>
      <c r="R26" s="1400" t="s">
        <v>720</v>
      </c>
      <c r="S26" s="1400"/>
      <c r="T26" s="1401" t="str">
        <f>"Средневзвешенная стоимость 1 кВт.ч"&amp;IF(TITLE_TYPE_ORG="Регулируемая организация"," (с учетом мощности)","")</f>
        <v xml:space="preserve">Средневзвешенная стоимость 1 кВт.ч</v>
      </c>
      <c r="U26" s="1401" t="s">
        <v>2071</v>
      </c>
      <c r="V26" s="1401" t="s">
        <v>2071</v>
      </c>
      <c r="W26" s="1401" t="s">
        <v>2071</v>
      </c>
      <c r="X26" s="1379"/>
      <c r="Y26" s="1386"/>
      <c r="Z26" s="1364"/>
      <c r="AA26" s="1371"/>
      <c r="AB26" s="1364"/>
      <c r="AC26" s="1364"/>
      <c r="AD26" s="1364"/>
    </row>
    <row r="27" ht="18" customHeight="1">
      <c r="A27" s="1381"/>
      <c r="B27" s="1387">
        <v>10</v>
      </c>
      <c r="C27" s="1379" t="s">
        <v>658</v>
      </c>
      <c r="D27" s="1397"/>
      <c r="E27" s="1379"/>
      <c r="F27" s="1379"/>
      <c r="G27" s="1402"/>
      <c r="H27" s="1403"/>
      <c r="I27" s="1399" t="str">
        <f t="shared" si="62"/>
        <v>2.2.2</v>
      </c>
      <c r="J27" s="1399" t="str">
        <f t="shared" si="63"/>
        <v xml:space="preserve">Объём приобретения электрической энергии</v>
      </c>
      <c r="K27" s="1399">
        <f t="shared" si="64"/>
        <v>0</v>
      </c>
      <c r="L27" s="1385" t="str">
        <f t="shared" si="65"/>
        <v>2.2.2</v>
      </c>
      <c r="M27" s="1385" t="str">
        <f t="shared" si="66"/>
        <v xml:space="preserve">Объём приобретения электрической энергии</v>
      </c>
      <c r="N27" s="1385" t="str">
        <f t="shared" si="67"/>
        <v/>
      </c>
      <c r="O27" s="1400" t="s">
        <v>728</v>
      </c>
      <c r="P27" s="1400" t="s">
        <v>722</v>
      </c>
      <c r="Q27" s="1400" t="s">
        <v>2072</v>
      </c>
      <c r="R27" s="1400" t="s">
        <v>722</v>
      </c>
      <c r="S27" s="1400"/>
      <c r="T27" s="1401" t="s">
        <v>2073</v>
      </c>
      <c r="U27" s="1401" t="s">
        <v>2073</v>
      </c>
      <c r="V27" s="1401" t="s">
        <v>2073</v>
      </c>
      <c r="W27" s="1401" t="s">
        <v>2073</v>
      </c>
      <c r="X27" s="1379"/>
      <c r="Y27" s="1386"/>
      <c r="Z27" s="1364"/>
      <c r="AA27" s="1371"/>
      <c r="AB27" s="1364"/>
      <c r="AC27" s="1364"/>
      <c r="AD27" s="1364"/>
    </row>
    <row r="28" ht="27" customHeight="1">
      <c r="A28" s="1381"/>
      <c r="B28" s="1387">
        <v>11</v>
      </c>
      <c r="C28" s="1379">
        <v>7</v>
      </c>
      <c r="D28" s="1397"/>
      <c r="E28" s="1379"/>
      <c r="F28" s="1379"/>
      <c r="G28" s="1402"/>
      <c r="H28" s="1403"/>
      <c r="I28" s="1399">
        <f t="shared" si="62"/>
        <v>0</v>
      </c>
      <c r="J28" s="1399">
        <f t="shared" si="63"/>
        <v>0</v>
      </c>
      <c r="K28" s="1399">
        <f t="shared" si="64"/>
        <v>0</v>
      </c>
      <c r="L28" s="1385" t="str">
        <f t="shared" si="65"/>
        <v/>
      </c>
      <c r="M28" s="1385" t="str">
        <f t="shared" si="66"/>
        <v/>
      </c>
      <c r="N28" s="1385" t="str">
        <f t="shared" si="67"/>
        <v/>
      </c>
      <c r="O28" s="1400" t="s">
        <v>730</v>
      </c>
      <c r="P28" s="1400"/>
      <c r="Q28" s="1400"/>
      <c r="R28" s="1400"/>
      <c r="S28" s="1400"/>
      <c r="T28" s="1401" t="s">
        <v>2074</v>
      </c>
      <c r="U28" s="1364"/>
      <c r="V28" s="1364"/>
      <c r="W28" s="1364"/>
      <c r="X28" s="1379"/>
      <c r="Y28" s="1386"/>
      <c r="Z28" s="1364"/>
      <c r="AA28" s="1371"/>
      <c r="AB28" s="1364"/>
      <c r="AC28" s="1364"/>
      <c r="AD28" s="1364"/>
    </row>
    <row r="29" ht="27" customHeight="1">
      <c r="A29" s="1381"/>
      <c r="B29" s="1387">
        <v>12</v>
      </c>
      <c r="C29" s="1379">
        <v>8</v>
      </c>
      <c r="D29" s="1397"/>
      <c r="E29" s="1379"/>
      <c r="F29" s="1379"/>
      <c r="G29" s="1402"/>
      <c r="H29" s="1403"/>
      <c r="I29" s="1399" t="str">
        <f t="shared" si="62"/>
        <v>2.3</v>
      </c>
      <c r="J29" s="1399" t="str">
        <f t="shared" si="63"/>
        <v xml:space="preserve">Расходы на химические реагенты, используемые в технологическом процессе</v>
      </c>
      <c r="K29" s="1399">
        <f t="shared" si="64"/>
        <v>0</v>
      </c>
      <c r="L29" s="1385" t="str">
        <f t="shared" si="65"/>
        <v>2.3</v>
      </c>
      <c r="M29" s="1385" t="str">
        <f t="shared" si="66"/>
        <v xml:space="preserve">Расходы на химические реагенты, используемые в технологическом процессе</v>
      </c>
      <c r="N29" s="1385" t="str">
        <f t="shared" si="67"/>
        <v/>
      </c>
      <c r="O29" s="1400" t="s">
        <v>737</v>
      </c>
      <c r="P29" s="1400" t="s">
        <v>312</v>
      </c>
      <c r="Q29" s="1400"/>
      <c r="R29" s="1400" t="s">
        <v>312</v>
      </c>
      <c r="S29" s="1400"/>
      <c r="T29" s="1401"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1364" t="s">
        <v>2075</v>
      </c>
      <c r="V29" s="1364"/>
      <c r="W29" s="1364" t="s">
        <v>2075</v>
      </c>
      <c r="X29" s="1379"/>
      <c r="Y29" s="1386"/>
      <c r="Z29" s="1364"/>
      <c r="AA29" s="1371"/>
      <c r="AB29" s="1364"/>
      <c r="AC29" s="1364"/>
      <c r="AD29" s="1364"/>
    </row>
    <row r="30" ht="54" customHeight="1">
      <c r="A30" s="1381"/>
      <c r="B30" s="1387">
        <v>13</v>
      </c>
      <c r="C30" s="1379">
        <v>9</v>
      </c>
      <c r="D30" s="1397"/>
      <c r="E30" s="1379"/>
      <c r="F30" s="1379"/>
      <c r="G30" s="1402"/>
      <c r="H30" s="1403"/>
      <c r="I30" s="1399" t="str">
        <f t="shared" si="62"/>
        <v>2.4</v>
      </c>
      <c r="J30" s="1399"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99" t="str">
        <f t="shared" si="64"/>
        <v xml:space="preserve">Указывается общая сумма расходов на оплату труда и отчислений на социальные нужды основного производственного персонала.</v>
      </c>
      <c r="L30" s="1385" t="str">
        <f t="shared" si="65"/>
        <v>2.4</v>
      </c>
      <c r="M30" s="1385"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85" t="str">
        <f t="shared" si="67"/>
        <v xml:space="preserve">Указывается общая сумма расходов на оплату труда и отчислений на социальные нужды основного производственного персонала.</v>
      </c>
      <c r="O30" s="1400" t="s">
        <v>739</v>
      </c>
      <c r="P30" s="1400" t="s">
        <v>730</v>
      </c>
      <c r="Q30" s="1400" t="s">
        <v>739</v>
      </c>
      <c r="R30" s="1400" t="s">
        <v>730</v>
      </c>
      <c r="S30" s="1400"/>
      <c r="T30" s="1401" t="s">
        <v>2076</v>
      </c>
      <c r="U30" s="1364" t="s">
        <v>2076</v>
      </c>
      <c r="V30" s="1364" t="s">
        <v>2076</v>
      </c>
      <c r="W30" s="1364" t="s">
        <v>2076</v>
      </c>
      <c r="X30" s="1379"/>
      <c r="Y30" s="1386"/>
      <c r="Z30" s="1364"/>
      <c r="AA30" s="1371" t="s">
        <v>2077</v>
      </c>
      <c r="AB30" s="1371" t="s">
        <v>2077</v>
      </c>
      <c r="AC30" s="1371" t="s">
        <v>2077</v>
      </c>
      <c r="AD30" s="1364"/>
    </row>
    <row r="31" ht="18" customHeight="1">
      <c r="A31" s="1381"/>
      <c r="B31" s="1387">
        <v>14</v>
      </c>
      <c r="C31" s="1379" t="s">
        <v>2078</v>
      </c>
      <c r="D31" s="1397"/>
      <c r="E31" s="1379"/>
      <c r="F31" s="1379"/>
      <c r="G31" s="1402"/>
      <c r="H31" s="1403"/>
      <c r="I31" s="1399" t="str">
        <f t="shared" si="62"/>
        <v>2.4.1</v>
      </c>
      <c r="J31" s="1399" t="str">
        <f t="shared" si="63"/>
        <v xml:space="preserve">Расходы на оплату труда основного производственного персонала</v>
      </c>
      <c r="K31" s="1399">
        <f t="shared" si="64"/>
        <v>0</v>
      </c>
      <c r="L31" s="1385" t="str">
        <f t="shared" si="65"/>
        <v>2.4.1</v>
      </c>
      <c r="M31" s="1385" t="str">
        <f t="shared" si="66"/>
        <v xml:space="preserve">Расходы на оплату труда основного производственного персонала</v>
      </c>
      <c r="N31" s="1385" t="str">
        <f t="shared" si="67"/>
        <v/>
      </c>
      <c r="O31" s="1400" t="s">
        <v>2079</v>
      </c>
      <c r="P31" s="1400" t="s">
        <v>733</v>
      </c>
      <c r="Q31" s="1400" t="s">
        <v>2079</v>
      </c>
      <c r="R31" s="1400" t="s">
        <v>733</v>
      </c>
      <c r="S31" s="1400"/>
      <c r="T31" s="1404" t="s">
        <v>2080</v>
      </c>
      <c r="U31" s="1364" t="s">
        <v>2080</v>
      </c>
      <c r="V31" s="1364" t="s">
        <v>2080</v>
      </c>
      <c r="W31" s="1364" t="s">
        <v>2080</v>
      </c>
      <c r="X31" s="1379"/>
      <c r="Y31" s="1386"/>
      <c r="Z31" s="1364"/>
      <c r="AA31" s="1371"/>
      <c r="AB31" s="1371"/>
      <c r="AC31" s="1371"/>
      <c r="AD31" s="1364"/>
    </row>
    <row r="32" ht="36" customHeight="1">
      <c r="A32" s="1381"/>
      <c r="B32" s="1387">
        <v>15</v>
      </c>
      <c r="C32" s="1379" t="s">
        <v>2081</v>
      </c>
      <c r="D32" s="1397"/>
      <c r="E32" s="1379"/>
      <c r="F32" s="1379"/>
      <c r="G32" s="1402"/>
      <c r="H32" s="1403"/>
      <c r="I32" s="1399" t="str">
        <f t="shared" si="62"/>
        <v>2.4.2</v>
      </c>
      <c r="J32" s="1399"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99">
        <f t="shared" si="64"/>
        <v>0</v>
      </c>
      <c r="L32" s="1385" t="str">
        <f t="shared" si="65"/>
        <v>2.4.2</v>
      </c>
      <c r="M32" s="1385"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85" t="str">
        <f t="shared" si="67"/>
        <v/>
      </c>
      <c r="O32" s="1400" t="s">
        <v>2082</v>
      </c>
      <c r="P32" s="1400" t="s">
        <v>735</v>
      </c>
      <c r="Q32" s="1400" t="s">
        <v>2082</v>
      </c>
      <c r="R32" s="1400" t="s">
        <v>735</v>
      </c>
      <c r="S32" s="1400"/>
      <c r="T32" s="140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1364" t="s">
        <v>2083</v>
      </c>
      <c r="V32" s="1364" t="s">
        <v>2083</v>
      </c>
      <c r="W32" s="1364" t="s">
        <v>2083</v>
      </c>
      <c r="X32" s="1379"/>
      <c r="Y32" s="1386"/>
      <c r="Z32" s="1364"/>
      <c r="AA32" s="1371"/>
      <c r="AB32" s="1371"/>
      <c r="AC32" s="1371"/>
      <c r="AD32" s="1364"/>
    </row>
    <row r="33" ht="45" customHeight="1">
      <c r="A33" s="1381"/>
      <c r="B33" s="1387">
        <v>16</v>
      </c>
      <c r="C33" s="1379">
        <v>10</v>
      </c>
      <c r="D33" s="1397"/>
      <c r="E33" s="1379"/>
      <c r="F33" s="1379"/>
      <c r="G33" s="1402"/>
      <c r="H33" s="1403"/>
      <c r="I33" s="1399" t="str">
        <f t="shared" si="62"/>
        <v>2.5</v>
      </c>
      <c r="J33" s="1399"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99" t="str">
        <f t="shared" si="64"/>
        <v xml:space="preserve">Указывается общая сумма расходов на оплату труда и отчислений на социальные нужды административно-управленческого персонала.</v>
      </c>
      <c r="L33" s="1385" t="str">
        <f t="shared" si="65"/>
        <v>2.5</v>
      </c>
      <c r="M33" s="1385"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85" t="str">
        <f t="shared" si="67"/>
        <v xml:space="preserve">Указывается общая сумма расходов на оплату труда и отчислений на социальные нужды административно-управленческого персонала.</v>
      </c>
      <c r="O33" s="1400" t="s">
        <v>741</v>
      </c>
      <c r="P33" s="1400" t="s">
        <v>737</v>
      </c>
      <c r="Q33" s="1400" t="s">
        <v>741</v>
      </c>
      <c r="R33" s="1400" t="s">
        <v>737</v>
      </c>
      <c r="S33" s="1400"/>
      <c r="T33" s="140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364" t="s">
        <v>2084</v>
      </c>
      <c r="V33" s="1364" t="s">
        <v>2084</v>
      </c>
      <c r="W33" s="1364" t="s">
        <v>2085</v>
      </c>
      <c r="X33" s="1379"/>
      <c r="Y33" s="1386"/>
      <c r="Z33" s="1364"/>
      <c r="AA33" s="1371" t="s">
        <v>2086</v>
      </c>
      <c r="AB33" s="1371" t="s">
        <v>2086</v>
      </c>
      <c r="AC33" s="1371" t="s">
        <v>2086</v>
      </c>
      <c r="AD33" s="1364"/>
    </row>
    <row r="34" ht="27" customHeight="1">
      <c r="A34" s="1381"/>
      <c r="B34" s="1387">
        <v>17</v>
      </c>
      <c r="C34" s="1379" t="s">
        <v>2087</v>
      </c>
      <c r="D34" s="1397"/>
      <c r="E34" s="1379"/>
      <c r="F34" s="1379"/>
      <c r="G34" s="1402"/>
      <c r="H34" s="1403"/>
      <c r="I34" s="1399" t="str">
        <f t="shared" si="62"/>
        <v>2.5.1</v>
      </c>
      <c r="J34" s="1399" t="str">
        <f t="shared" si="63"/>
        <v xml:space="preserve">Расходы на оплату труда административно-управленческого персонала</v>
      </c>
      <c r="K34" s="1399">
        <f t="shared" si="64"/>
        <v>0</v>
      </c>
      <c r="L34" s="1385" t="str">
        <f t="shared" si="65"/>
        <v>2.5.1</v>
      </c>
      <c r="M34" s="1385" t="str">
        <f t="shared" si="66"/>
        <v xml:space="preserve">Расходы на оплату труда административно-управленческого персонала</v>
      </c>
      <c r="N34" s="1385" t="str">
        <f t="shared" si="67"/>
        <v/>
      </c>
      <c r="O34" s="1400" t="s">
        <v>2088</v>
      </c>
      <c r="P34" s="1400" t="s">
        <v>2070</v>
      </c>
      <c r="Q34" s="1400" t="s">
        <v>2088</v>
      </c>
      <c r="R34" s="1400" t="s">
        <v>2070</v>
      </c>
      <c r="S34" s="1400"/>
      <c r="T34" s="1405" t="s">
        <v>2089</v>
      </c>
      <c r="U34" s="1364" t="s">
        <v>2089</v>
      </c>
      <c r="V34" s="1364" t="s">
        <v>2089</v>
      </c>
      <c r="W34" s="1364" t="s">
        <v>2090</v>
      </c>
      <c r="X34" s="1379"/>
      <c r="Y34" s="1386"/>
      <c r="Z34" s="1364"/>
      <c r="AA34" s="1371"/>
      <c r="AB34" s="1364"/>
      <c r="AC34" s="1364"/>
      <c r="AD34" s="1364"/>
    </row>
    <row r="35" ht="45" customHeight="1">
      <c r="A35" s="1381"/>
      <c r="B35" s="1387">
        <v>18</v>
      </c>
      <c r="C35" s="1379" t="s">
        <v>2091</v>
      </c>
      <c r="D35" s="1397"/>
      <c r="E35" s="1379"/>
      <c r="F35" s="1379"/>
      <c r="G35" s="1402"/>
      <c r="H35" s="1403"/>
      <c r="I35" s="1399" t="str">
        <f t="shared" si="62"/>
        <v>2.5.2</v>
      </c>
      <c r="J35" s="1399"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99">
        <f t="shared" si="64"/>
        <v>0</v>
      </c>
      <c r="L35" s="1385" t="str">
        <f t="shared" si="65"/>
        <v>2.5.2</v>
      </c>
      <c r="M35" s="1385"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85" t="str">
        <f t="shared" si="67"/>
        <v/>
      </c>
      <c r="O35" s="1400" t="s">
        <v>2092</v>
      </c>
      <c r="P35" s="1400" t="s">
        <v>2072</v>
      </c>
      <c r="Q35" s="1400" t="s">
        <v>2092</v>
      </c>
      <c r="R35" s="1400" t="s">
        <v>2072</v>
      </c>
      <c r="S35" s="1400"/>
      <c r="T35" s="140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364" t="s">
        <v>2093</v>
      </c>
      <c r="V35" s="1364" t="s">
        <v>2093</v>
      </c>
      <c r="W35" s="1364" t="s">
        <v>2093</v>
      </c>
      <c r="X35" s="1379"/>
      <c r="Y35" s="1386"/>
      <c r="Z35" s="1364"/>
      <c r="AA35" s="1371"/>
      <c r="AB35" s="1364"/>
      <c r="AC35" s="1364"/>
      <c r="AD35" s="1364"/>
    </row>
    <row r="36" ht="18" customHeight="1">
      <c r="A36" s="1381"/>
      <c r="B36" s="1387">
        <v>19</v>
      </c>
      <c r="C36" s="1379">
        <v>11</v>
      </c>
      <c r="D36" s="1397"/>
      <c r="E36" s="1379"/>
      <c r="F36" s="1379"/>
      <c r="G36" s="1402"/>
      <c r="H36" s="1403"/>
      <c r="I36" s="1399" t="str">
        <f t="shared" si="62"/>
        <v>2.6</v>
      </c>
      <c r="J36" s="1399" t="str">
        <f t="shared" si="63"/>
        <v xml:space="preserve">Расходы на амортизацию основных средств и нематериальных активов</v>
      </c>
      <c r="K36" s="1399">
        <f t="shared" si="64"/>
        <v>0</v>
      </c>
      <c r="L36" s="1385" t="str">
        <f t="shared" si="65"/>
        <v>2.6</v>
      </c>
      <c r="M36" s="1385" t="str">
        <f t="shared" si="66"/>
        <v xml:space="preserve">Расходы на амортизацию основных средств и нематериальных активов</v>
      </c>
      <c r="N36" s="1385" t="str">
        <f t="shared" si="67"/>
        <v/>
      </c>
      <c r="O36" s="1400" t="s">
        <v>743</v>
      </c>
      <c r="P36" s="1400" t="s">
        <v>739</v>
      </c>
      <c r="Q36" s="1400" t="s">
        <v>743</v>
      </c>
      <c r="R36" s="1400" t="s">
        <v>739</v>
      </c>
      <c r="S36" s="1400"/>
      <c r="T36" s="1401" t="s">
        <v>2094</v>
      </c>
      <c r="U36" s="1364" t="s">
        <v>2094</v>
      </c>
      <c r="V36" s="1364" t="s">
        <v>2094</v>
      </c>
      <c r="W36" s="1364" t="s">
        <v>2094</v>
      </c>
      <c r="X36" s="1379"/>
      <c r="Y36" s="1386"/>
      <c r="Z36" s="1364"/>
      <c r="AA36" s="1371"/>
      <c r="AB36" s="1364"/>
      <c r="AC36" s="1364"/>
      <c r="AD36" s="1364"/>
    </row>
    <row r="37" ht="18" customHeight="1">
      <c r="A37" s="1381"/>
      <c r="B37" s="1387">
        <v>20</v>
      </c>
      <c r="C37" s="1379" t="s">
        <v>2095</v>
      </c>
      <c r="D37" s="1397"/>
      <c r="E37" s="1379"/>
      <c r="F37" s="1379"/>
      <c r="G37" s="1402"/>
      <c r="H37" s="1403"/>
      <c r="I37" s="1399" t="str">
        <f t="shared" si="62"/>
        <v>2.6.1</v>
      </c>
      <c r="J37" s="1399" t="str">
        <f t="shared" si="63"/>
        <v xml:space="preserve">Расходы на амортизацию основных средств</v>
      </c>
      <c r="K37" s="1399">
        <f t="shared" si="64"/>
        <v>0</v>
      </c>
      <c r="L37" s="1385" t="str">
        <f t="shared" si="65"/>
        <v>2.6.1</v>
      </c>
      <c r="M37" s="1385" t="str">
        <f t="shared" si="66"/>
        <v xml:space="preserve">Расходы на амортизацию основных средств</v>
      </c>
      <c r="N37" s="1385" t="str">
        <f t="shared" si="67"/>
        <v/>
      </c>
      <c r="O37" s="1400" t="s">
        <v>2096</v>
      </c>
      <c r="P37" s="1400" t="s">
        <v>2079</v>
      </c>
      <c r="Q37" s="1400" t="s">
        <v>2096</v>
      </c>
      <c r="R37" s="1400" t="s">
        <v>2079</v>
      </c>
      <c r="S37" s="1400"/>
      <c r="T37" s="1401" t="s">
        <v>2097</v>
      </c>
      <c r="U37" s="1364" t="s">
        <v>2097</v>
      </c>
      <c r="V37" s="1364" t="s">
        <v>2097</v>
      </c>
      <c r="W37" s="1364" t="s">
        <v>2097</v>
      </c>
      <c r="X37" s="1379"/>
      <c r="Y37" s="1386"/>
      <c r="Z37" s="1364"/>
      <c r="AA37" s="1371"/>
      <c r="AB37" s="1364"/>
      <c r="AC37" s="1364"/>
      <c r="AD37" s="1364"/>
    </row>
    <row r="38" ht="18" customHeight="1">
      <c r="A38" s="1381"/>
      <c r="B38" s="1387">
        <v>21</v>
      </c>
      <c r="C38" s="1379" t="s">
        <v>2098</v>
      </c>
      <c r="D38" s="1397"/>
      <c r="E38" s="1379"/>
      <c r="F38" s="1379"/>
      <c r="G38" s="1402"/>
      <c r="H38" s="1403"/>
      <c r="I38" s="1399" t="str">
        <f t="shared" si="62"/>
        <v>2.6.2</v>
      </c>
      <c r="J38" s="1399" t="str">
        <f t="shared" si="63"/>
        <v xml:space="preserve">Расходы на амортизацию нематериальных активов</v>
      </c>
      <c r="K38" s="1399">
        <f t="shared" si="64"/>
        <v>0</v>
      </c>
      <c r="L38" s="1385" t="str">
        <f t="shared" si="65"/>
        <v>2.6.2</v>
      </c>
      <c r="M38" s="1385" t="str">
        <f t="shared" si="66"/>
        <v xml:space="preserve">Расходы на амортизацию нематериальных активов</v>
      </c>
      <c r="N38" s="1385" t="str">
        <f t="shared" si="67"/>
        <v/>
      </c>
      <c r="O38" s="1400" t="s">
        <v>2099</v>
      </c>
      <c r="P38" s="1400" t="s">
        <v>2082</v>
      </c>
      <c r="Q38" s="1400" t="s">
        <v>2099</v>
      </c>
      <c r="R38" s="1400" t="s">
        <v>2082</v>
      </c>
      <c r="S38" s="1400"/>
      <c r="T38" s="1401" t="s">
        <v>2100</v>
      </c>
      <c r="U38" s="1364" t="s">
        <v>2100</v>
      </c>
      <c r="V38" s="1364" t="s">
        <v>2100</v>
      </c>
      <c r="W38" s="1364" t="s">
        <v>2100</v>
      </c>
      <c r="X38" s="1379"/>
      <c r="Y38" s="1386"/>
      <c r="Z38" s="1364"/>
      <c r="AA38" s="1371"/>
      <c r="AB38" s="1364"/>
      <c r="AC38" s="1364"/>
      <c r="AD38" s="1364"/>
    </row>
    <row r="39" ht="36" customHeight="1">
      <c r="A39" s="1381"/>
      <c r="B39" s="1387">
        <v>22</v>
      </c>
      <c r="C39" s="1379">
        <v>12</v>
      </c>
      <c r="D39" s="1397"/>
      <c r="E39" s="1379"/>
      <c r="F39" s="1379"/>
      <c r="G39" s="1402"/>
      <c r="H39" s="1403"/>
      <c r="I39" s="1399" t="str">
        <f t="shared" si="62"/>
        <v>2.7</v>
      </c>
      <c r="J39" s="1399" t="str">
        <f t="shared" si="63"/>
        <v xml:space="preserve">Расходы на аренду имущества, используемого для осуществления регулируемых видов деятельности в сфере холодного водоснабжения</v>
      </c>
      <c r="K39" s="1399">
        <f t="shared" si="64"/>
        <v>0</v>
      </c>
      <c r="L39" s="1385" t="str">
        <f t="shared" si="65"/>
        <v>2.7</v>
      </c>
      <c r="M39" s="1385" t="str">
        <f t="shared" si="66"/>
        <v xml:space="preserve">Расходы на аренду имущества, используемого для осуществления регулируемых видов деятельности в сфере холодного водоснабжения</v>
      </c>
      <c r="N39" s="1385" t="str">
        <f t="shared" si="67"/>
        <v/>
      </c>
      <c r="O39" s="1400" t="s">
        <v>747</v>
      </c>
      <c r="P39" s="1400" t="s">
        <v>741</v>
      </c>
      <c r="Q39" s="1400" t="s">
        <v>747</v>
      </c>
      <c r="R39" s="1400" t="s">
        <v>741</v>
      </c>
      <c r="S39" s="1400"/>
      <c r="T39" s="1401" t="s">
        <v>2101</v>
      </c>
      <c r="U39" s="1364" t="s">
        <v>2102</v>
      </c>
      <c r="V39" s="1364" t="s">
        <v>2103</v>
      </c>
      <c r="W39" s="1364" t="s">
        <v>2104</v>
      </c>
      <c r="X39" s="1379"/>
      <c r="Y39" s="1386"/>
      <c r="Z39" s="1364"/>
      <c r="AA39" s="1371"/>
      <c r="AB39" s="1364"/>
      <c r="AC39" s="1364"/>
      <c r="AD39" s="1364"/>
    </row>
    <row r="40" ht="18" customHeight="1">
      <c r="A40" s="1381"/>
      <c r="B40" s="1387">
        <v>23</v>
      </c>
      <c r="C40" s="1379">
        <v>13</v>
      </c>
      <c r="D40" s="1397"/>
      <c r="E40" s="1379"/>
      <c r="F40" s="1379"/>
      <c r="G40" s="1379"/>
      <c r="H40" s="1406"/>
      <c r="I40" s="1399" t="str">
        <f t="shared" si="62"/>
        <v>2.8</v>
      </c>
      <c r="J40" s="1399" t="str">
        <f t="shared" si="63"/>
        <v xml:space="preserve">Общепроизводственные расходы, в том числе:</v>
      </c>
      <c r="K40" s="1399" t="str">
        <f t="shared" si="64"/>
        <v xml:space="preserve">Указывается общая сумма общепроизводственных расходов.</v>
      </c>
      <c r="L40" s="1385" t="str">
        <f t="shared" si="65"/>
        <v>2.8</v>
      </c>
      <c r="M40" s="1385" t="str">
        <f t="shared" si="66"/>
        <v xml:space="preserve">Общепроизводственные расходы, в том числе:</v>
      </c>
      <c r="N40" s="1385" t="str">
        <f t="shared" si="67"/>
        <v xml:space="preserve">Указывается общая сумма общепроизводственных расходов.</v>
      </c>
      <c r="O40" s="1400" t="s">
        <v>2105</v>
      </c>
      <c r="P40" s="1400" t="s">
        <v>743</v>
      </c>
      <c r="Q40" s="1400" t="s">
        <v>2105</v>
      </c>
      <c r="R40" s="1400" t="s">
        <v>743</v>
      </c>
      <c r="S40" s="1400"/>
      <c r="T40" s="1379" t="s">
        <v>2106</v>
      </c>
      <c r="U40" s="1379" t="s">
        <v>2106</v>
      </c>
      <c r="V40" s="1379" t="s">
        <v>2106</v>
      </c>
      <c r="W40" s="1379" t="s">
        <v>2106</v>
      </c>
      <c r="X40" s="1379"/>
      <c r="Y40" s="1386"/>
      <c r="Z40" s="1364" t="s">
        <v>2107</v>
      </c>
      <c r="AA40" s="1371" t="s">
        <v>2107</v>
      </c>
      <c r="AB40" s="1371" t="s">
        <v>2107</v>
      </c>
      <c r="AC40" s="1371" t="s">
        <v>2107</v>
      </c>
      <c r="AD40" s="1364"/>
    </row>
    <row r="41" ht="27" customHeight="1">
      <c r="A41" s="1381"/>
      <c r="B41" s="1387">
        <v>24</v>
      </c>
      <c r="C41" s="1379" t="s">
        <v>2108</v>
      </c>
      <c r="D41" s="1397"/>
      <c r="E41" s="1379"/>
      <c r="F41" s="1379"/>
      <c r="G41" s="1379"/>
      <c r="H41" s="1402"/>
      <c r="I41" s="1399" t="str">
        <f t="shared" si="62"/>
        <v>2.8.1</v>
      </c>
      <c r="J41" s="1399" t="str">
        <f t="shared" si="63"/>
        <v xml:space="preserve">Расходы на текущий ремонт</v>
      </c>
      <c r="K41" s="1399" t="str">
        <f t="shared" si="64"/>
        <v xml:space="preserve">Указываются расходы на текущий ремонт, отнесенные к общепроизводственным расходам.</v>
      </c>
      <c r="L41" s="1385" t="str">
        <f t="shared" si="65"/>
        <v>2.8.1</v>
      </c>
      <c r="M41" s="1385" t="str">
        <f t="shared" si="66"/>
        <v xml:space="preserve">Расходы на текущий ремонт</v>
      </c>
      <c r="N41" s="1385" t="str">
        <f t="shared" si="67"/>
        <v xml:space="preserve">Указываются расходы на текущий ремонт, отнесенные к общепроизводственным расходам.</v>
      </c>
      <c r="O41" s="1400" t="s">
        <v>2109</v>
      </c>
      <c r="P41" s="1400" t="s">
        <v>2096</v>
      </c>
      <c r="Q41" s="1400" t="s">
        <v>2109</v>
      </c>
      <c r="R41" s="1400" t="s">
        <v>2096</v>
      </c>
      <c r="S41" s="1400"/>
      <c r="T41" s="1379" t="s">
        <v>2110</v>
      </c>
      <c r="U41" s="1379" t="s">
        <v>2110</v>
      </c>
      <c r="V41" s="1379" t="s">
        <v>2110</v>
      </c>
      <c r="W41" s="1379" t="s">
        <v>2110</v>
      </c>
      <c r="X41" s="1379"/>
      <c r="Y41" s="1386"/>
      <c r="Z41" s="1364" t="s">
        <v>2111</v>
      </c>
      <c r="AA41" s="1364" t="s">
        <v>2111</v>
      </c>
      <c r="AB41" s="1364" t="s">
        <v>2111</v>
      </c>
      <c r="AC41" s="1364" t="s">
        <v>2111</v>
      </c>
      <c r="AD41" s="1364"/>
    </row>
    <row r="42" ht="27" customHeight="1">
      <c r="A42" s="1381"/>
      <c r="B42" s="1387">
        <v>25</v>
      </c>
      <c r="C42" s="1379" t="s">
        <v>2112</v>
      </c>
      <c r="D42" s="1397"/>
      <c r="E42" s="1379"/>
      <c r="F42" s="1379"/>
      <c r="G42" s="1379"/>
      <c r="H42" s="1402"/>
      <c r="I42" s="1399" t="str">
        <f t="shared" si="62"/>
        <v>2.8.2</v>
      </c>
      <c r="J42" s="1399" t="str">
        <f t="shared" si="63"/>
        <v xml:space="preserve">Расходы на капитальный ремонт</v>
      </c>
      <c r="K42" s="1399" t="str">
        <f t="shared" si="64"/>
        <v xml:space="preserve">Указываются расходы на капитальный ремонт, отнесенные к общепроизводственным расходам.</v>
      </c>
      <c r="L42" s="1385" t="str">
        <f t="shared" si="65"/>
        <v>2.8.2</v>
      </c>
      <c r="M42" s="1385" t="str">
        <f t="shared" si="66"/>
        <v xml:space="preserve">Расходы на капитальный ремонт</v>
      </c>
      <c r="N42" s="1385" t="str">
        <f t="shared" si="67"/>
        <v xml:space="preserve">Указываются расходы на капитальный ремонт, отнесенные к общепроизводственным расходам.</v>
      </c>
      <c r="O42" s="1400" t="s">
        <v>2113</v>
      </c>
      <c r="P42" s="1400" t="s">
        <v>2099</v>
      </c>
      <c r="Q42" s="1400" t="s">
        <v>2113</v>
      </c>
      <c r="R42" s="1400" t="s">
        <v>2099</v>
      </c>
      <c r="S42" s="1400"/>
      <c r="T42" s="1379" t="s">
        <v>2114</v>
      </c>
      <c r="U42" s="1379" t="s">
        <v>2114</v>
      </c>
      <c r="V42" s="1379" t="s">
        <v>2114</v>
      </c>
      <c r="W42" s="1379" t="s">
        <v>2114</v>
      </c>
      <c r="X42" s="1379"/>
      <c r="Y42" s="1386"/>
      <c r="Z42" s="1364" t="s">
        <v>2115</v>
      </c>
      <c r="AA42" s="1364" t="s">
        <v>2115</v>
      </c>
      <c r="AB42" s="1364" t="s">
        <v>2115</v>
      </c>
      <c r="AC42" s="1364" t="s">
        <v>2115</v>
      </c>
      <c r="AD42" s="1364"/>
    </row>
    <row r="43" ht="18" customHeight="1">
      <c r="A43" s="1381"/>
      <c r="B43" s="1387">
        <v>26</v>
      </c>
      <c r="C43" s="1379">
        <v>14</v>
      </c>
      <c r="D43" s="1397"/>
      <c r="E43" s="1379"/>
      <c r="F43" s="1379"/>
      <c r="G43" s="1379"/>
      <c r="H43" s="1402"/>
      <c r="I43" s="1399" t="str">
        <f t="shared" si="62"/>
        <v>2.9</v>
      </c>
      <c r="J43" s="1399" t="str">
        <f t="shared" si="63"/>
        <v xml:space="preserve">Общехозяйственные расходы, в том числе:</v>
      </c>
      <c r="K43" s="1399" t="str">
        <f t="shared" si="64"/>
        <v xml:space="preserve">Указывается общая сумма общехозяйственных расходов.</v>
      </c>
      <c r="L43" s="1385" t="str">
        <f t="shared" si="65"/>
        <v>2.9</v>
      </c>
      <c r="M43" s="1385" t="str">
        <f t="shared" si="66"/>
        <v xml:space="preserve">Общехозяйственные расходы, в том числе:</v>
      </c>
      <c r="N43" s="1385" t="str">
        <f t="shared" si="67"/>
        <v xml:space="preserve">Указывается общая сумма общехозяйственных расходов.</v>
      </c>
      <c r="O43" s="1400" t="s">
        <v>2116</v>
      </c>
      <c r="P43" s="1400" t="s">
        <v>747</v>
      </c>
      <c r="Q43" s="1400" t="s">
        <v>2116</v>
      </c>
      <c r="R43" s="1400" t="s">
        <v>747</v>
      </c>
      <c r="S43" s="1400"/>
      <c r="T43" s="1379" t="s">
        <v>2117</v>
      </c>
      <c r="U43" s="1379" t="s">
        <v>2117</v>
      </c>
      <c r="V43" s="1379" t="s">
        <v>2117</v>
      </c>
      <c r="W43" s="1379" t="s">
        <v>2117</v>
      </c>
      <c r="X43" s="1379"/>
      <c r="Y43" s="1386"/>
      <c r="Z43" s="1364" t="s">
        <v>2118</v>
      </c>
      <c r="AA43" s="1364" t="s">
        <v>2118</v>
      </c>
      <c r="AB43" s="1364" t="s">
        <v>2118</v>
      </c>
      <c r="AC43" s="1364" t="s">
        <v>2118</v>
      </c>
      <c r="AD43" s="1364"/>
    </row>
    <row r="44" ht="27" customHeight="1">
      <c r="A44" s="1381"/>
      <c r="B44" s="1387">
        <v>27</v>
      </c>
      <c r="C44" s="1379" t="s">
        <v>2119</v>
      </c>
      <c r="D44" s="1397"/>
      <c r="E44" s="1379"/>
      <c r="F44" s="1379"/>
      <c r="G44" s="1379"/>
      <c r="H44" s="1402"/>
      <c r="I44" s="1399" t="str">
        <f t="shared" si="62"/>
        <v>2.9.1</v>
      </c>
      <c r="J44" s="1399" t="str">
        <f t="shared" si="63"/>
        <v xml:space="preserve">Расходы на текущий ремонт</v>
      </c>
      <c r="K44" s="1399" t="str">
        <f t="shared" si="64"/>
        <v xml:space="preserve">Указываются расходы на текущий ремонт, отнесенные к общехозяйственным расходам.</v>
      </c>
      <c r="L44" s="1385" t="str">
        <f t="shared" si="65"/>
        <v>2.9.1</v>
      </c>
      <c r="M44" s="1385" t="str">
        <f t="shared" si="66"/>
        <v xml:space="preserve">Расходы на текущий ремонт</v>
      </c>
      <c r="N44" s="1385" t="str">
        <f t="shared" si="67"/>
        <v xml:space="preserve">Указываются расходы на текущий ремонт, отнесенные к общехозяйственным расходам.</v>
      </c>
      <c r="O44" s="1400" t="s">
        <v>2120</v>
      </c>
      <c r="P44" s="1400" t="s">
        <v>2121</v>
      </c>
      <c r="Q44" s="1400" t="s">
        <v>2120</v>
      </c>
      <c r="R44" s="1400" t="s">
        <v>2121</v>
      </c>
      <c r="S44" s="1400"/>
      <c r="T44" s="1379" t="s">
        <v>2110</v>
      </c>
      <c r="U44" s="1379" t="s">
        <v>2110</v>
      </c>
      <c r="V44" s="1379" t="s">
        <v>2110</v>
      </c>
      <c r="W44" s="1379" t="s">
        <v>2110</v>
      </c>
      <c r="X44" s="1379"/>
      <c r="Y44" s="1386"/>
      <c r="Z44" s="1364" t="s">
        <v>2122</v>
      </c>
      <c r="AA44" s="1364" t="s">
        <v>2122</v>
      </c>
      <c r="AB44" s="1364" t="s">
        <v>2122</v>
      </c>
      <c r="AC44" s="1364" t="s">
        <v>2122</v>
      </c>
      <c r="AD44" s="1364"/>
    </row>
    <row r="45" ht="27" customHeight="1">
      <c r="A45" s="1381"/>
      <c r="B45" s="1387">
        <v>28</v>
      </c>
      <c r="C45" s="1379" t="s">
        <v>2123</v>
      </c>
      <c r="D45" s="1397"/>
      <c r="E45" s="1379"/>
      <c r="F45" s="1379"/>
      <c r="G45" s="1379"/>
      <c r="H45" s="1402"/>
      <c r="I45" s="1399" t="str">
        <f t="shared" si="62"/>
        <v>2.9.2</v>
      </c>
      <c r="J45" s="1399" t="str">
        <f t="shared" si="63"/>
        <v xml:space="preserve">Расходы на капитальный ремонт</v>
      </c>
      <c r="K45" s="1399" t="str">
        <f t="shared" si="64"/>
        <v xml:space="preserve">Указываются расходы на капитальный ремонт, отнесенные к общехозяйственным расходам.</v>
      </c>
      <c r="L45" s="1385" t="str">
        <f t="shared" si="65"/>
        <v>2.9.2</v>
      </c>
      <c r="M45" s="1385" t="str">
        <f t="shared" si="66"/>
        <v xml:space="preserve">Расходы на капитальный ремонт</v>
      </c>
      <c r="N45" s="1385" t="str">
        <f t="shared" si="67"/>
        <v xml:space="preserve">Указываются расходы на капитальный ремонт, отнесенные к общехозяйственным расходам.</v>
      </c>
      <c r="O45" s="1400" t="s">
        <v>2124</v>
      </c>
      <c r="P45" s="1400" t="s">
        <v>2125</v>
      </c>
      <c r="Q45" s="1400" t="s">
        <v>2124</v>
      </c>
      <c r="R45" s="1400" t="s">
        <v>2125</v>
      </c>
      <c r="S45" s="1400"/>
      <c r="T45" s="1379" t="s">
        <v>2114</v>
      </c>
      <c r="U45" s="1379" t="s">
        <v>2114</v>
      </c>
      <c r="V45" s="1379" t="s">
        <v>2114</v>
      </c>
      <c r="W45" s="1379" t="s">
        <v>2114</v>
      </c>
      <c r="X45" s="1379"/>
      <c r="Y45" s="1386"/>
      <c r="Z45" s="1364" t="s">
        <v>2126</v>
      </c>
      <c r="AA45" s="1364" t="s">
        <v>2126</v>
      </c>
      <c r="AB45" s="1364" t="s">
        <v>2126</v>
      </c>
      <c r="AC45" s="1364" t="s">
        <v>2126</v>
      </c>
      <c r="AD45" s="1364"/>
    </row>
    <row r="46" ht="54" customHeight="1">
      <c r="A46" s="1381"/>
      <c r="B46" s="1387">
        <v>29</v>
      </c>
      <c r="C46" s="1379">
        <v>15</v>
      </c>
      <c r="D46" s="1397"/>
      <c r="E46" s="1379"/>
      <c r="F46" s="1379"/>
      <c r="G46" s="1379"/>
      <c r="H46" s="1402"/>
      <c r="I46" s="1399" t="str">
        <f t="shared" si="62"/>
        <v>2.10</v>
      </c>
      <c r="J46" s="1399" t="str">
        <f t="shared" si="63"/>
        <v xml:space="preserve">Расходы на капитальный и текущий ремонт основных средств</v>
      </c>
      <c r="K46" s="1399" t="str">
        <f t="shared" si="64"/>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85" t="str">
        <f t="shared" si="65"/>
        <v>2.10</v>
      </c>
      <c r="M46" s="1385" t="str">
        <f t="shared" si="66"/>
        <v xml:space="preserve">Расходы на капитальный и текущий ремонт основных средств</v>
      </c>
      <c r="N46" s="1385" t="str">
        <f t="shared" si="67"/>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400" t="s">
        <v>2127</v>
      </c>
      <c r="P46" s="1400" t="s">
        <v>2105</v>
      </c>
      <c r="Q46" s="1400" t="s">
        <v>2127</v>
      </c>
      <c r="R46" s="1400" t="s">
        <v>2105</v>
      </c>
      <c r="S46" s="1400"/>
      <c r="T46" s="1385"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1379" t="s">
        <v>2128</v>
      </c>
      <c r="V46" s="1379" t="s">
        <v>2128</v>
      </c>
      <c r="W46" s="1379" t="s">
        <v>2128</v>
      </c>
      <c r="X46" s="1379"/>
      <c r="Y46" s="1386"/>
      <c r="Z46" s="1364" t="s">
        <v>2129</v>
      </c>
      <c r="AA46" s="1364" t="s">
        <v>2130</v>
      </c>
      <c r="AB46" s="1364" t="s">
        <v>2130</v>
      </c>
      <c r="AC46" s="1364" t="s">
        <v>2130</v>
      </c>
      <c r="AD46" s="1364"/>
    </row>
    <row r="47" ht="54" customHeight="1">
      <c r="A47" s="1381"/>
      <c r="B47" s="1387">
        <v>30</v>
      </c>
      <c r="C47" s="1379" t="s">
        <v>2131</v>
      </c>
      <c r="D47" s="1397"/>
      <c r="E47" s="1379"/>
      <c r="F47" s="1379"/>
      <c r="G47" s="1379"/>
      <c r="H47" s="1402"/>
      <c r="I47" s="1399" t="str">
        <f t="shared" si="62"/>
        <v>2.10.1</v>
      </c>
      <c r="J47" s="1399"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99">
        <f t="shared" si="64"/>
        <v>0</v>
      </c>
      <c r="L47" s="1385" t="str">
        <f t="shared" si="65"/>
        <v>2.10.1</v>
      </c>
      <c r="M47" s="1385"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85" t="str">
        <f t="shared" si="67"/>
        <v/>
      </c>
      <c r="O47" s="1400" t="s">
        <v>2132</v>
      </c>
      <c r="P47" s="1400" t="s">
        <v>2109</v>
      </c>
      <c r="Q47" s="1400" t="s">
        <v>2132</v>
      </c>
      <c r="R47" s="1400" t="s">
        <v>2109</v>
      </c>
      <c r="S47" s="1400"/>
      <c r="T47" s="1379" t="s">
        <v>2133</v>
      </c>
      <c r="U47" s="1379" t="s">
        <v>2133</v>
      </c>
      <c r="V47" s="1379" t="s">
        <v>2133</v>
      </c>
      <c r="W47" s="1379" t="s">
        <v>2133</v>
      </c>
      <c r="X47" s="1379"/>
      <c r="Y47" s="1386"/>
      <c r="Z47" s="1364"/>
      <c r="AA47" s="1371"/>
      <c r="AB47" s="1371"/>
      <c r="AC47" s="1371"/>
      <c r="AD47" s="1364"/>
    </row>
    <row r="48" ht="54" customHeight="1">
      <c r="A48" s="1381"/>
      <c r="B48" s="1387">
        <v>31</v>
      </c>
      <c r="C48" s="1379">
        <v>16</v>
      </c>
      <c r="D48" s="1397"/>
      <c r="E48" s="1379"/>
      <c r="F48" s="1379"/>
      <c r="G48" s="1379"/>
      <c r="H48" s="1402"/>
      <c r="I48" s="1399" t="str">
        <f t="shared" si="62"/>
        <v>2.11</v>
      </c>
      <c r="J48" s="1399" t="str">
        <f t="shared" si="63"/>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399" t="str">
        <f t="shared" si="64"/>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385" t="str">
        <f t="shared" si="65"/>
        <v>2.11</v>
      </c>
      <c r="M48" s="1385" t="str">
        <f t="shared" si="66"/>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385" t="str">
        <f t="shared" si="67"/>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400"/>
      <c r="P48" s="1400" t="s">
        <v>2116</v>
      </c>
      <c r="Q48" s="1400" t="s">
        <v>2134</v>
      </c>
      <c r="R48" s="1400" t="s">
        <v>2116</v>
      </c>
      <c r="S48" s="1400"/>
      <c r="T48" s="1379"/>
      <c r="U48" s="1379" t="s">
        <v>2135</v>
      </c>
      <c r="V48" s="1379" t="s">
        <v>2136</v>
      </c>
      <c r="W48" s="1379" t="s">
        <v>2136</v>
      </c>
      <c r="X48" s="1379"/>
      <c r="Y48" s="1386"/>
      <c r="Z48" s="1364"/>
      <c r="AA48" s="1371" t="s">
        <v>2130</v>
      </c>
      <c r="AB48" s="1371" t="s">
        <v>2130</v>
      </c>
      <c r="AC48" s="1371" t="s">
        <v>2130</v>
      </c>
      <c r="AD48" s="1364"/>
    </row>
    <row r="49" ht="54" customHeight="1">
      <c r="A49" s="1381"/>
      <c r="B49" s="1387">
        <v>32</v>
      </c>
      <c r="C49" s="1379" t="s">
        <v>2137</v>
      </c>
      <c r="D49" s="1397"/>
      <c r="E49" s="1379"/>
      <c r="F49" s="1379"/>
      <c r="G49" s="1379"/>
      <c r="H49" s="1402"/>
      <c r="I49" s="1399" t="str">
        <f t="shared" si="62"/>
        <v>2.11.1</v>
      </c>
      <c r="J49" s="1399"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399">
        <f t="shared" si="64"/>
        <v>0</v>
      </c>
      <c r="L49" s="1385" t="str">
        <f t="shared" si="65"/>
        <v>2.11.1</v>
      </c>
      <c r="M49" s="1385"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385" t="str">
        <f t="shared" si="67"/>
        <v/>
      </c>
      <c r="O49" s="1400"/>
      <c r="P49" s="1400" t="s">
        <v>2120</v>
      </c>
      <c r="Q49" s="1400" t="s">
        <v>2138</v>
      </c>
      <c r="R49" s="1400" t="s">
        <v>2120</v>
      </c>
      <c r="S49" s="1400"/>
      <c r="T49" s="1379"/>
      <c r="U49" s="1379" t="s">
        <v>2133</v>
      </c>
      <c r="V49" s="1379" t="s">
        <v>2133</v>
      </c>
      <c r="W49" s="1379" t="s">
        <v>2133</v>
      </c>
      <c r="X49" s="1379"/>
      <c r="Y49" s="1386"/>
      <c r="Z49" s="1364"/>
      <c r="AA49" s="1371"/>
      <c r="AB49" s="1371"/>
      <c r="AC49" s="1371"/>
      <c r="AD49" s="1364"/>
    </row>
    <row r="50" ht="126" customHeight="1">
      <c r="A50" s="1381"/>
      <c r="B50" s="1387">
        <v>33</v>
      </c>
      <c r="C50" s="1379">
        <v>17</v>
      </c>
      <c r="D50" s="1397"/>
      <c r="E50" s="1379"/>
      <c r="F50" s="1379"/>
      <c r="G50" s="1379"/>
      <c r="H50" s="1402"/>
      <c r="I50" s="1399" t="str">
        <f t="shared" si="62"/>
        <v>2.12</v>
      </c>
      <c r="J50" s="1399" t="str">
        <f t="shared" si="63"/>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399" t="str">
        <f t="shared" si="64"/>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385" t="str">
        <f t="shared" si="65"/>
        <v>2.12</v>
      </c>
      <c r="M50" s="1385" t="str">
        <f t="shared" si="66"/>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385" t="str">
        <f t="shared" si="67"/>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400" t="s">
        <v>2134</v>
      </c>
      <c r="P50" s="1400" t="s">
        <v>2127</v>
      </c>
      <c r="Q50" s="1400" t="s">
        <v>2139</v>
      </c>
      <c r="R50" s="1400" t="s">
        <v>2127</v>
      </c>
      <c r="S50" s="1400"/>
      <c r="T50" s="1379" t="s">
        <v>2140</v>
      </c>
      <c r="U50" s="1379" t="s">
        <v>2141</v>
      </c>
      <c r="V50" s="1379" t="s">
        <v>2142</v>
      </c>
      <c r="W50" s="1379" t="s">
        <v>2143</v>
      </c>
      <c r="X50" s="1379"/>
      <c r="Y50" s="1386"/>
      <c r="Z50" s="1364" t="s">
        <v>2144</v>
      </c>
      <c r="AA50" s="1371" t="s">
        <v>2145</v>
      </c>
      <c r="AB50" s="1371" t="s">
        <v>2145</v>
      </c>
      <c r="AC50" s="1371" t="s">
        <v>2145</v>
      </c>
      <c r="AD50" s="1364"/>
    </row>
    <row r="51" ht="27" customHeight="1">
      <c r="A51" s="1381"/>
      <c r="B51" s="1387">
        <v>34</v>
      </c>
      <c r="C51" s="1379" t="s">
        <v>2146</v>
      </c>
      <c r="D51" s="1397"/>
      <c r="E51" s="1379"/>
      <c r="F51" s="1379"/>
      <c r="G51" s="1379"/>
      <c r="H51" s="1402"/>
      <c r="I51" s="1399">
        <f t="shared" si="62"/>
        <v>0</v>
      </c>
      <c r="J51" s="1399">
        <f t="shared" si="63"/>
        <v>0</v>
      </c>
      <c r="K51" s="1399">
        <f t="shared" si="64"/>
        <v>0</v>
      </c>
      <c r="L51" s="1385" t="str">
        <f t="shared" si="65"/>
        <v/>
      </c>
      <c r="M51" s="1385" t="str">
        <f t="shared" si="66"/>
        <v/>
      </c>
      <c r="N51" s="1385" t="str">
        <f t="shared" si="67"/>
        <v/>
      </c>
      <c r="O51" s="1400" t="s">
        <v>90</v>
      </c>
      <c r="P51" s="1400"/>
      <c r="Q51" s="1400"/>
      <c r="R51" s="1400"/>
      <c r="S51" s="1400"/>
      <c r="T51" s="1379" t="s">
        <v>2147</v>
      </c>
      <c r="U51" s="1379"/>
      <c r="V51" s="1379"/>
      <c r="W51" s="1379"/>
      <c r="X51" s="1379"/>
      <c r="Y51" s="1386"/>
      <c r="Z51" s="1364"/>
      <c r="AA51" s="1371"/>
      <c r="AB51" s="1371"/>
      <c r="AC51" s="1371"/>
      <c r="AD51" s="1364"/>
    </row>
    <row r="52" ht="36" customHeight="1">
      <c r="A52" s="1381"/>
      <c r="B52" s="1387">
        <v>35</v>
      </c>
      <c r="C52" s="1379" t="s">
        <v>2040</v>
      </c>
      <c r="D52" s="1397" t="s">
        <v>2040</v>
      </c>
      <c r="E52" s="1379" t="s">
        <v>2040</v>
      </c>
      <c r="F52" s="1379" t="s">
        <v>2040</v>
      </c>
      <c r="G52" s="1379"/>
      <c r="H52" s="1402"/>
      <c r="I52" s="1399" t="str">
        <f t="shared" si="62"/>
        <v>3</v>
      </c>
      <c r="J52" s="1399" t="str">
        <f t="shared" si="63"/>
        <v xml:space="preserve">Чистая прибыль, полученная от регулируемого вида деятельности в сфере холодного водоснабжения, в том числе:</v>
      </c>
      <c r="K52" s="1399" t="str">
        <f t="shared" si="64"/>
        <v xml:space="preserve">Указывается общая сумма чистой прибыли, полученной от регулируемого вида деятельности.</v>
      </c>
      <c r="L52" s="1385" t="str">
        <f t="shared" si="65"/>
        <v>3</v>
      </c>
      <c r="M52" s="1385" t="str">
        <f t="shared" si="66"/>
        <v xml:space="preserve">Чистая прибыль, полученная от регулируемого вида деятельности в сфере холодного водоснабжения, в том числе:</v>
      </c>
      <c r="N52" s="1385" t="str">
        <f t="shared" si="67"/>
        <v xml:space="preserve">Указывается общая сумма чистой прибыли, полученной от регулируемого вида деятельности.</v>
      </c>
      <c r="O52" s="1400" t="s">
        <v>91</v>
      </c>
      <c r="P52" s="1400" t="s">
        <v>90</v>
      </c>
      <c r="Q52" s="1400" t="s">
        <v>90</v>
      </c>
      <c r="R52" s="1400" t="s">
        <v>90</v>
      </c>
      <c r="S52" s="1400"/>
      <c r="T52" s="1379" t="s">
        <v>2148</v>
      </c>
      <c r="U52" s="1379" t="s">
        <v>2149</v>
      </c>
      <c r="V52" s="1379" t="s">
        <v>2150</v>
      </c>
      <c r="W52" s="1379" t="s">
        <v>2151</v>
      </c>
      <c r="X52" s="1379"/>
      <c r="Y52" s="1386"/>
      <c r="Z52" s="1364" t="s">
        <v>751</v>
      </c>
      <c r="AA52" s="1371" t="s">
        <v>751</v>
      </c>
      <c r="AB52" s="1371" t="s">
        <v>751</v>
      </c>
      <c r="AC52" s="1371" t="s">
        <v>751</v>
      </c>
      <c r="AD52" s="1364"/>
    </row>
    <row r="53" ht="36" customHeight="1">
      <c r="A53" s="1381"/>
      <c r="B53" s="1387">
        <v>36</v>
      </c>
      <c r="C53" s="1379">
        <v>1</v>
      </c>
      <c r="D53" s="1397"/>
      <c r="E53" s="1379"/>
      <c r="F53" s="1379"/>
      <c r="G53" s="1379"/>
      <c r="H53" s="1402"/>
      <c r="I53" s="1399" t="str">
        <f t="shared" si="62"/>
        <v>3.1</v>
      </c>
      <c r="J53" s="1399"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99">
        <f t="shared" si="64"/>
        <v>0</v>
      </c>
      <c r="L53" s="1385" t="str">
        <f t="shared" si="65"/>
        <v>3.1</v>
      </c>
      <c r="M53" s="1385"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85" t="str">
        <f t="shared" si="67"/>
        <v/>
      </c>
      <c r="O53" s="1400" t="s">
        <v>755</v>
      </c>
      <c r="P53" s="1400" t="s">
        <v>326</v>
      </c>
      <c r="Q53" s="1400" t="s">
        <v>326</v>
      </c>
      <c r="R53" s="1400" t="s">
        <v>326</v>
      </c>
      <c r="S53" s="1400"/>
      <c r="T53" s="1379" t="s">
        <v>2152</v>
      </c>
      <c r="U53" s="1379" t="s">
        <v>2152</v>
      </c>
      <c r="V53" s="1379" t="s">
        <v>2152</v>
      </c>
      <c r="W53" s="1379" t="s">
        <v>2152</v>
      </c>
      <c r="X53" s="1379"/>
      <c r="Y53" s="1386"/>
      <c r="Z53" s="1364"/>
      <c r="AA53" s="1371"/>
      <c r="AB53" s="1364"/>
      <c r="AC53" s="1364"/>
      <c r="AD53" s="1364"/>
    </row>
    <row r="54" ht="18" customHeight="1">
      <c r="A54" s="1381"/>
      <c r="B54" s="1387">
        <v>37</v>
      </c>
      <c r="C54" s="1379" t="s">
        <v>2046</v>
      </c>
      <c r="D54" s="1397" t="s">
        <v>2046</v>
      </c>
      <c r="E54" s="1379" t="s">
        <v>2046</v>
      </c>
      <c r="F54" s="1379" t="s">
        <v>2046</v>
      </c>
      <c r="G54" s="1379"/>
      <c r="H54" s="1402"/>
      <c r="I54" s="1399" t="str">
        <f t="shared" si="62"/>
        <v>4</v>
      </c>
      <c r="J54" s="1399" t="str">
        <f t="shared" si="63"/>
        <v xml:space="preserve">Изменение стоимости основных фондов, в том числе:</v>
      </c>
      <c r="K54" s="1399" t="str">
        <f t="shared" si="64"/>
        <v xml:space="preserve">Указывается общее изменение стоимости основных фондов.</v>
      </c>
      <c r="L54" s="1385" t="str">
        <f t="shared" si="65"/>
        <v>4</v>
      </c>
      <c r="M54" s="1385" t="str">
        <f t="shared" si="66"/>
        <v xml:space="preserve">Изменение стоимости основных фондов, в том числе:</v>
      </c>
      <c r="N54" s="1385" t="str">
        <f t="shared" si="67"/>
        <v xml:space="preserve">Указывается общее изменение стоимости основных фондов.</v>
      </c>
      <c r="O54" s="1400" t="s">
        <v>111</v>
      </c>
      <c r="P54" s="1400" t="s">
        <v>91</v>
      </c>
      <c r="Q54" s="1400" t="s">
        <v>91</v>
      </c>
      <c r="R54" s="1400" t="s">
        <v>91</v>
      </c>
      <c r="S54" s="1400"/>
      <c r="T54" s="1379" t="s">
        <v>753</v>
      </c>
      <c r="U54" s="1379" t="s">
        <v>753</v>
      </c>
      <c r="V54" s="1379" t="s">
        <v>753</v>
      </c>
      <c r="W54" s="1379" t="s">
        <v>753</v>
      </c>
      <c r="X54" s="1379"/>
      <c r="Y54" s="1386"/>
      <c r="Z54" s="1364" t="s">
        <v>754</v>
      </c>
      <c r="AA54" s="1364" t="s">
        <v>754</v>
      </c>
      <c r="AB54" s="1364" t="s">
        <v>754</v>
      </c>
      <c r="AC54" s="1364" t="s">
        <v>754</v>
      </c>
      <c r="AD54" s="1364"/>
    </row>
    <row r="55" ht="36" customHeight="1">
      <c r="A55" s="1381"/>
      <c r="B55" s="1387">
        <v>38</v>
      </c>
      <c r="C55" s="1379">
        <v>1</v>
      </c>
      <c r="D55" s="1397"/>
      <c r="E55" s="1379"/>
      <c r="F55" s="1379"/>
      <c r="G55" s="1379"/>
      <c r="H55" s="1402"/>
      <c r="I55" s="1399" t="str">
        <f t="shared" si="62"/>
        <v>4.1</v>
      </c>
      <c r="J55" s="1399" t="str">
        <f t="shared" si="63"/>
        <v xml:space="preserve">Изменение стоимости основных фондов за счет их ввода в эксплуатацию (вывода из эксплуатации)</v>
      </c>
      <c r="K55" s="1399" t="str">
        <f t="shared" si="64"/>
        <v xml:space="preserve">Указываются общее изменение стоимости основных фондов за счет их ввода в эксплуатацию и вывода из эксплуатации.</v>
      </c>
      <c r="L55" s="1385" t="str">
        <f t="shared" si="65"/>
        <v>4.1</v>
      </c>
      <c r="M55" s="1385" t="str">
        <f t="shared" si="66"/>
        <v xml:space="preserve">Изменение стоимости основных фондов за счет их ввода в эксплуатацию (вывода из эксплуатации)</v>
      </c>
      <c r="N55" s="1385" t="str">
        <f t="shared" si="67"/>
        <v xml:space="preserve">Указываются общее изменение стоимости основных фондов за счет их ввода в эксплуатацию и вывода из эксплуатации.</v>
      </c>
      <c r="O55" s="1400" t="s">
        <v>315</v>
      </c>
      <c r="P55" s="1400" t="s">
        <v>755</v>
      </c>
      <c r="Q55" s="1400" t="s">
        <v>755</v>
      </c>
      <c r="R55" s="1400" t="s">
        <v>755</v>
      </c>
      <c r="S55" s="1400"/>
      <c r="T55" s="1385"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1379" t="s">
        <v>2153</v>
      </c>
      <c r="V55" s="1379" t="s">
        <v>2153</v>
      </c>
      <c r="W55" s="1379" t="s">
        <v>2153</v>
      </c>
      <c r="X55" s="1379"/>
      <c r="Y55" s="1386"/>
      <c r="Z55" s="1364" t="s">
        <v>2154</v>
      </c>
      <c r="AA55" s="1364" t="s">
        <v>2154</v>
      </c>
      <c r="AB55" s="1364" t="s">
        <v>2154</v>
      </c>
      <c r="AC55" s="1364" t="s">
        <v>2154</v>
      </c>
      <c r="AD55" s="1364"/>
    </row>
    <row r="56" ht="27" customHeight="1">
      <c r="A56" s="1381"/>
      <c r="B56" s="1387">
        <v>39</v>
      </c>
      <c r="C56" s="1379" t="s">
        <v>1023</v>
      </c>
      <c r="D56" s="1397"/>
      <c r="E56" s="1379"/>
      <c r="F56" s="1379"/>
      <c r="G56" s="1379"/>
      <c r="H56" s="1402"/>
      <c r="I56" s="1399" t="str">
        <f t="shared" si="62"/>
        <v>4.1.1</v>
      </c>
      <c r="J56" s="1399" t="str">
        <f t="shared" si="63"/>
        <v xml:space="preserve">Изменение стоимости основных фондов за счет их ввода в эксплуатацию</v>
      </c>
      <c r="K56" s="1399" t="str">
        <f t="shared" si="64"/>
        <v xml:space="preserve">Указываются изменение стоимости основных фондов за счет их ввода в эксплуатацию.</v>
      </c>
      <c r="L56" s="1385" t="str">
        <f t="shared" si="65"/>
        <v>4.1.1</v>
      </c>
      <c r="M56" s="1385" t="str">
        <f t="shared" si="66"/>
        <v xml:space="preserve">Изменение стоимости основных фондов за счет их ввода в эксплуатацию</v>
      </c>
      <c r="N56" s="1385" t="str">
        <f t="shared" si="67"/>
        <v xml:space="preserve">Указываются изменение стоимости основных фондов за счет их ввода в эксплуатацию.</v>
      </c>
      <c r="O56" s="1400" t="s">
        <v>1140</v>
      </c>
      <c r="P56" s="1400" t="s">
        <v>758</v>
      </c>
      <c r="Q56" s="1400" t="s">
        <v>758</v>
      </c>
      <c r="R56" s="1400" t="s">
        <v>758</v>
      </c>
      <c r="S56" s="1400"/>
      <c r="T56" s="1385"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1379" t="s">
        <v>2155</v>
      </c>
      <c r="V56" s="1379" t="s">
        <v>2155</v>
      </c>
      <c r="W56" s="1379" t="s">
        <v>2155</v>
      </c>
      <c r="X56" s="1379"/>
      <c r="Y56" s="1386"/>
      <c r="Z56" s="1364" t="s">
        <v>760</v>
      </c>
      <c r="AA56" s="1364" t="s">
        <v>760</v>
      </c>
      <c r="AB56" s="1364" t="s">
        <v>760</v>
      </c>
      <c r="AC56" s="1364" t="s">
        <v>760</v>
      </c>
      <c r="AD56" s="1364"/>
    </row>
    <row r="57" ht="27" customHeight="1">
      <c r="A57" s="1381"/>
      <c r="B57" s="1387">
        <v>40</v>
      </c>
      <c r="C57" s="1379" t="s">
        <v>1025</v>
      </c>
      <c r="D57" s="1397"/>
      <c r="E57" s="1379"/>
      <c r="F57" s="1379"/>
      <c r="G57" s="1379"/>
      <c r="H57" s="1402"/>
      <c r="I57" s="1399" t="str">
        <f t="shared" si="62"/>
        <v>4.1.2</v>
      </c>
      <c r="J57" s="1399" t="str">
        <f t="shared" si="63"/>
        <v xml:space="preserve">Изменение стоимости основных фондов за счет их вывода в эксплуатацию</v>
      </c>
      <c r="K57" s="1399" t="str">
        <f t="shared" si="64"/>
        <v xml:space="preserve">Указываются изменение стоимости основных фондов за счет их вывода из эксплуатации.</v>
      </c>
      <c r="L57" s="1385" t="str">
        <f t="shared" si="65"/>
        <v>4.1.2</v>
      </c>
      <c r="M57" s="1385" t="str">
        <f t="shared" si="66"/>
        <v xml:space="preserve">Изменение стоимости основных фондов за счет их вывода в эксплуатацию</v>
      </c>
      <c r="N57" s="1385" t="str">
        <f t="shared" si="67"/>
        <v xml:space="preserve">Указываются изменение стоимости основных фондов за счет их вывода из эксплуатации.</v>
      </c>
      <c r="O57" s="1400" t="s">
        <v>2156</v>
      </c>
      <c r="P57" s="1400" t="s">
        <v>761</v>
      </c>
      <c r="Q57" s="1400" t="s">
        <v>761</v>
      </c>
      <c r="R57" s="1400" t="s">
        <v>761</v>
      </c>
      <c r="S57" s="1400"/>
      <c r="T57" s="1385"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1379" t="s">
        <v>2157</v>
      </c>
      <c r="V57" s="1379" t="s">
        <v>2157</v>
      </c>
      <c r="W57" s="1379" t="s">
        <v>2157</v>
      </c>
      <c r="X57" s="1379"/>
      <c r="Y57" s="1386"/>
      <c r="Z57" s="1364" t="s">
        <v>763</v>
      </c>
      <c r="AA57" s="1364" t="s">
        <v>763</v>
      </c>
      <c r="AB57" s="1364" t="s">
        <v>763</v>
      </c>
      <c r="AC57" s="1364" t="s">
        <v>763</v>
      </c>
      <c r="AD57" s="1364"/>
    </row>
    <row r="58" ht="18" customHeight="1">
      <c r="A58" s="1381"/>
      <c r="B58" s="1387">
        <v>41</v>
      </c>
      <c r="C58" s="1379">
        <v>2</v>
      </c>
      <c r="D58" s="1397"/>
      <c r="E58" s="1379"/>
      <c r="F58" s="1379"/>
      <c r="G58" s="1379"/>
      <c r="H58" s="1402"/>
      <c r="I58" s="1399" t="str">
        <f t="shared" si="62"/>
        <v>4.2</v>
      </c>
      <c r="J58" s="1399" t="str">
        <f t="shared" si="63"/>
        <v xml:space="preserve">Изменение стоимости основных фондов за счет их переоценки</v>
      </c>
      <c r="K58" s="1399">
        <f t="shared" si="64"/>
        <v>0</v>
      </c>
      <c r="L58" s="1385" t="str">
        <f t="shared" si="65"/>
        <v>4.2</v>
      </c>
      <c r="M58" s="1385" t="str">
        <f t="shared" si="66"/>
        <v xml:space="preserve">Изменение стоимости основных фондов за счет их переоценки</v>
      </c>
      <c r="N58" s="1385" t="str">
        <f t="shared" si="67"/>
        <v/>
      </c>
      <c r="O58" s="1400" t="s">
        <v>883</v>
      </c>
      <c r="P58" s="1400" t="s">
        <v>797</v>
      </c>
      <c r="Q58" s="1400" t="s">
        <v>797</v>
      </c>
      <c r="R58" s="1400" t="s">
        <v>797</v>
      </c>
      <c r="S58" s="1400"/>
      <c r="T58" s="1385"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1379" t="s">
        <v>2158</v>
      </c>
      <c r="V58" s="1379" t="s">
        <v>2158</v>
      </c>
      <c r="W58" s="1379" t="s">
        <v>2158</v>
      </c>
      <c r="X58" s="1379"/>
      <c r="Y58" s="1386"/>
      <c r="Z58" s="1364"/>
      <c r="AA58" s="1371"/>
      <c r="AB58" s="1364"/>
      <c r="AC58" s="1364"/>
      <c r="AD58" s="1364"/>
    </row>
    <row r="59" ht="36" customHeight="1">
      <c r="A59" s="1381"/>
      <c r="B59" s="1387">
        <v>42</v>
      </c>
      <c r="C59" s="1379">
        <v>3</v>
      </c>
      <c r="D59" s="1397" t="s">
        <v>2146</v>
      </c>
      <c r="E59" s="1379" t="s">
        <v>2146</v>
      </c>
      <c r="F59" s="1379" t="s">
        <v>2146</v>
      </c>
      <c r="G59" s="1379"/>
      <c r="H59" s="1402"/>
      <c r="I59" s="1399" t="str">
        <f t="shared" si="62"/>
        <v>5</v>
      </c>
      <c r="J59" s="1399" t="str">
        <f t="shared" si="63"/>
        <v xml:space="preserve">Валовая прибыль (убытки) от продажи товаров и услуг по регулируемым видам деятельности в сфере холодного водоснабжения</v>
      </c>
      <c r="K59" s="1399">
        <f t="shared" si="64"/>
        <v>0</v>
      </c>
      <c r="L59" s="1385" t="str">
        <f t="shared" si="65"/>
        <v>5</v>
      </c>
      <c r="M59" s="1385" t="str">
        <f t="shared" si="66"/>
        <v xml:space="preserve">Валовая прибыль (убытки) от продажи товаров и услуг по регулируемым видам деятельности в сфере холодного водоснабжения</v>
      </c>
      <c r="N59" s="1385" t="str">
        <f t="shared" si="67"/>
        <v/>
      </c>
      <c r="O59" s="1400"/>
      <c r="P59" s="1400" t="s">
        <v>111</v>
      </c>
      <c r="Q59" s="1400" t="s">
        <v>111</v>
      </c>
      <c r="R59" s="1400" t="s">
        <v>111</v>
      </c>
      <c r="S59" s="1400"/>
      <c r="T59" s="1379"/>
      <c r="U59" s="1379" t="s">
        <v>2159</v>
      </c>
      <c r="V59" s="1379" t="s">
        <v>2160</v>
      </c>
      <c r="W59" s="1379" t="s">
        <v>2161</v>
      </c>
      <c r="X59" s="1379"/>
      <c r="Y59" s="1386"/>
      <c r="Z59" s="1364"/>
      <c r="AA59" s="1371"/>
      <c r="AB59" s="1364"/>
      <c r="AC59" s="1364"/>
      <c r="AD59" s="1364"/>
    </row>
    <row r="60" ht="81" customHeight="1">
      <c r="A60" s="1381"/>
      <c r="B60" s="1387">
        <v>43</v>
      </c>
      <c r="C60" s="1379" t="s">
        <v>2162</v>
      </c>
      <c r="D60" s="1397" t="s">
        <v>2162</v>
      </c>
      <c r="E60" s="1379" t="s">
        <v>2162</v>
      </c>
      <c r="F60" s="1379" t="s">
        <v>2162</v>
      </c>
      <c r="G60" s="1379"/>
      <c r="H60" s="1402"/>
      <c r="I60" s="1399" t="str">
        <f t="shared" si="62"/>
        <v>6</v>
      </c>
      <c r="J60" s="1399" t="str">
        <f t="shared" si="63"/>
        <v xml:space="preserve">Годовая бухгалтерская (финансовая) отчетность, включая бухгалтерский баланс и приложения к нему</v>
      </c>
      <c r="K60" s="1399" t="str">
        <f t="shared" si="64"/>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385" t="str">
        <f t="shared" si="65"/>
        <v>6</v>
      </c>
      <c r="M60" s="1385" t="str">
        <f t="shared" si="66"/>
        <v xml:space="preserve">Годовая бухгалтерская (финансовая) отчетность, включая бухгалтерский баланс и приложения к нему</v>
      </c>
      <c r="N60" s="1385" t="str">
        <f t="shared" si="67"/>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400" t="s">
        <v>92</v>
      </c>
      <c r="P60" s="1400" t="s">
        <v>92</v>
      </c>
      <c r="Q60" s="1400" t="s">
        <v>92</v>
      </c>
      <c r="R60" s="1400" t="s">
        <v>92</v>
      </c>
      <c r="S60" s="1400"/>
      <c r="T60" s="1379" t="s">
        <v>631</v>
      </c>
      <c r="U60" s="1379" t="s">
        <v>631</v>
      </c>
      <c r="V60" s="1379" t="s">
        <v>631</v>
      </c>
      <c r="W60" s="1379" t="s">
        <v>631</v>
      </c>
      <c r="X60" s="1379"/>
      <c r="Y60" s="1386"/>
      <c r="Z60" s="1364" t="s">
        <v>2163</v>
      </c>
      <c r="AA60" s="1371" t="s">
        <v>2164</v>
      </c>
      <c r="AB60" s="1364" t="s">
        <v>2165</v>
      </c>
      <c r="AC60" s="1364" t="s">
        <v>2164</v>
      </c>
      <c r="AD60" s="1364"/>
    </row>
    <row r="61" ht="9" customHeight="1">
      <c r="A61" s="1381"/>
      <c r="B61" s="1387">
        <v>44</v>
      </c>
      <c r="C61" s="1379"/>
      <c r="D61" s="1397" t="s">
        <v>2166</v>
      </c>
      <c r="E61" s="1379"/>
      <c r="F61" s="1379"/>
      <c r="G61" s="1379"/>
      <c r="H61" s="1402"/>
      <c r="I61" s="1399" t="str">
        <f t="shared" si="62"/>
        <v>7</v>
      </c>
      <c r="J61" s="1399" t="str">
        <f t="shared" si="63"/>
        <v xml:space="preserve">Объём поднятой воды</v>
      </c>
      <c r="K61" s="1399">
        <f t="shared" si="64"/>
        <v>0</v>
      </c>
      <c r="L61" s="1385" t="str">
        <f t="shared" si="65"/>
        <v>7</v>
      </c>
      <c r="M61" s="1385" t="str">
        <f t="shared" si="66"/>
        <v xml:space="preserve">Объём поднятой воды</v>
      </c>
      <c r="N61" s="1385" t="str">
        <f t="shared" si="67"/>
        <v/>
      </c>
      <c r="O61" s="1400"/>
      <c r="P61" s="1400" t="s">
        <v>93</v>
      </c>
      <c r="Q61" s="1400"/>
      <c r="R61" s="1400"/>
      <c r="S61" s="1400"/>
      <c r="T61" s="1379"/>
      <c r="U61" s="1379" t="s">
        <v>2167</v>
      </c>
      <c r="V61" s="1379"/>
      <c r="W61" s="1379"/>
      <c r="X61" s="1379"/>
      <c r="Y61" s="1386"/>
      <c r="Z61" s="1364"/>
      <c r="AA61" s="1371"/>
      <c r="AB61" s="1364"/>
      <c r="AC61" s="1364"/>
      <c r="AD61" s="1364"/>
    </row>
    <row r="62" ht="9" customHeight="1">
      <c r="A62" s="1381"/>
      <c r="B62" s="1387">
        <v>45</v>
      </c>
      <c r="C62" s="1379"/>
      <c r="D62" s="1397" t="s">
        <v>2168</v>
      </c>
      <c r="E62" s="1379"/>
      <c r="F62" s="1379"/>
      <c r="G62" s="1379"/>
      <c r="H62" s="1402"/>
      <c r="I62" s="1399" t="str">
        <f t="shared" si="62"/>
        <v>8</v>
      </c>
      <c r="J62" s="1399" t="str">
        <f t="shared" si="63"/>
        <v xml:space="preserve">Объём покупной воды</v>
      </c>
      <c r="K62" s="1399">
        <f t="shared" si="64"/>
        <v>0</v>
      </c>
      <c r="L62" s="1385" t="str">
        <f t="shared" si="65"/>
        <v>8</v>
      </c>
      <c r="M62" s="1385" t="str">
        <f t="shared" si="66"/>
        <v xml:space="preserve">Объём покупной воды</v>
      </c>
      <c r="N62" s="1385" t="str">
        <f t="shared" si="67"/>
        <v/>
      </c>
      <c r="O62" s="1400"/>
      <c r="P62" s="1400" t="s">
        <v>112</v>
      </c>
      <c r="Q62" s="1400"/>
      <c r="R62" s="1400"/>
      <c r="S62" s="1400"/>
      <c r="T62" s="1379"/>
      <c r="U62" s="1379" t="s">
        <v>2169</v>
      </c>
      <c r="V62" s="1379"/>
      <c r="W62" s="1379"/>
      <c r="X62" s="1379"/>
      <c r="Y62" s="1386"/>
      <c r="Z62" s="1364"/>
      <c r="AA62" s="1371"/>
      <c r="AB62" s="1364"/>
      <c r="AC62" s="1364"/>
      <c r="AD62" s="1364"/>
    </row>
    <row r="63" ht="18" customHeight="1">
      <c r="A63" s="1381"/>
      <c r="B63" s="1387">
        <v>46</v>
      </c>
      <c r="C63" s="1379"/>
      <c r="D63" s="1397" t="s">
        <v>2170</v>
      </c>
      <c r="E63" s="1379"/>
      <c r="F63" s="1379"/>
      <c r="G63" s="1379"/>
      <c r="H63" s="1402"/>
      <c r="I63" s="1399" t="str">
        <f t="shared" si="62"/>
        <v>9</v>
      </c>
      <c r="J63" s="1399" t="str">
        <f t="shared" si="63"/>
        <v xml:space="preserve">Объём воды, пропущенной через очистные сооружения</v>
      </c>
      <c r="K63" s="1399">
        <f t="shared" si="64"/>
        <v>0</v>
      </c>
      <c r="L63" s="1385" t="str">
        <f t="shared" si="65"/>
        <v>9</v>
      </c>
      <c r="M63" s="1385" t="str">
        <f t="shared" si="66"/>
        <v xml:space="preserve">Объём воды, пропущенной через очистные сооружения</v>
      </c>
      <c r="N63" s="1385" t="str">
        <f t="shared" si="67"/>
        <v/>
      </c>
      <c r="O63" s="1400"/>
      <c r="P63" s="1400" t="s">
        <v>99</v>
      </c>
      <c r="Q63" s="1400"/>
      <c r="R63" s="1400"/>
      <c r="S63" s="1400"/>
      <c r="T63" s="1379"/>
      <c r="U63" s="1379" t="s">
        <v>2171</v>
      </c>
      <c r="V63" s="1379"/>
      <c r="W63" s="1379"/>
      <c r="X63" s="1379"/>
      <c r="Y63" s="1386"/>
      <c r="Z63" s="1364"/>
      <c r="AA63" s="1371"/>
      <c r="AB63" s="1364"/>
      <c r="AC63" s="1364"/>
      <c r="AD63" s="1364"/>
    </row>
    <row r="64" ht="18" customHeight="1">
      <c r="A64" s="1381"/>
      <c r="B64" s="1387">
        <v>47</v>
      </c>
      <c r="C64" s="1379"/>
      <c r="D64" s="1397" t="s">
        <v>2172</v>
      </c>
      <c r="E64" s="1379"/>
      <c r="F64" s="1379"/>
      <c r="G64" s="1379"/>
      <c r="H64" s="1402"/>
      <c r="I64" s="1399" t="str">
        <f t="shared" si="62"/>
        <v>10</v>
      </c>
      <c r="J64" s="1399" t="str">
        <f t="shared" si="63"/>
        <v xml:space="preserve">Объём отпущенной потребителям воды, в том числе:</v>
      </c>
      <c r="K64" s="1399" t="str">
        <f t="shared" si="64"/>
        <v xml:space="preserve">Указывается общий объем отпущенной потребителям воды.</v>
      </c>
      <c r="L64" s="1385" t="str">
        <f t="shared" si="65"/>
        <v>10</v>
      </c>
      <c r="M64" s="1385" t="str">
        <f t="shared" si="66"/>
        <v xml:space="preserve">Объём отпущенной потребителям воды, в том числе:</v>
      </c>
      <c r="N64" s="1385" t="str">
        <f t="shared" si="67"/>
        <v xml:space="preserve">Указывается общий объем отпущенной потребителям воды.</v>
      </c>
      <c r="O64" s="1400"/>
      <c r="P64" s="1400" t="s">
        <v>148</v>
      </c>
      <c r="Q64" s="1400"/>
      <c r="R64" s="1400"/>
      <c r="S64" s="1400"/>
      <c r="T64" s="1379"/>
      <c r="U64" s="1379" t="s">
        <v>2173</v>
      </c>
      <c r="V64" s="1379"/>
      <c r="W64" s="1379"/>
      <c r="X64" s="1379"/>
      <c r="Y64" s="1386"/>
      <c r="Z64" s="1364"/>
      <c r="AA64" s="1371" t="s">
        <v>2174</v>
      </c>
      <c r="AB64" s="1364"/>
      <c r="AC64" s="1364"/>
      <c r="AD64" s="1364"/>
    </row>
    <row r="65" ht="18" customHeight="1">
      <c r="A65" s="1381"/>
      <c r="B65" s="1387">
        <v>48</v>
      </c>
      <c r="C65" s="1379"/>
      <c r="D65" s="1397"/>
      <c r="E65" s="1379"/>
      <c r="F65" s="1379"/>
      <c r="G65" s="1379"/>
      <c r="H65" s="1402"/>
      <c r="I65" s="1399" t="str">
        <f t="shared" si="62"/>
        <v>10.1</v>
      </c>
      <c r="J65" s="1399" t="str">
        <f t="shared" si="63"/>
        <v xml:space="preserve">Объём отпущенной потребителям воды, определенный по приборам учета</v>
      </c>
      <c r="K65" s="1399">
        <f t="shared" si="64"/>
        <v>0</v>
      </c>
      <c r="L65" s="1385" t="str">
        <f t="shared" si="65"/>
        <v>10.1</v>
      </c>
      <c r="M65" s="1385" t="str">
        <f t="shared" si="66"/>
        <v xml:space="preserve">Объём отпущенной потребителям воды, определенный по приборам учета</v>
      </c>
      <c r="N65" s="1385" t="str">
        <f t="shared" si="67"/>
        <v/>
      </c>
      <c r="O65" s="1400"/>
      <c r="P65" s="1400" t="s">
        <v>2087</v>
      </c>
      <c r="Q65" s="1400"/>
      <c r="R65" s="1400"/>
      <c r="S65" s="1400"/>
      <c r="T65" s="1379"/>
      <c r="U65" s="1379" t="s">
        <v>2175</v>
      </c>
      <c r="V65" s="1379"/>
      <c r="W65" s="1379"/>
      <c r="X65" s="1379"/>
      <c r="Y65" s="1386"/>
      <c r="Z65" s="1364"/>
      <c r="AA65" s="1371"/>
      <c r="AB65" s="1364"/>
      <c r="AC65" s="1364"/>
      <c r="AD65" s="1364"/>
    </row>
    <row r="66" ht="18" customHeight="1">
      <c r="A66" s="1381"/>
      <c r="B66" s="1387">
        <v>49</v>
      </c>
      <c r="C66" s="1379"/>
      <c r="D66" s="1397"/>
      <c r="E66" s="1379"/>
      <c r="F66" s="1379"/>
      <c r="G66" s="1379"/>
      <c r="H66" s="1402"/>
      <c r="I66" s="1399" t="str">
        <f t="shared" si="62"/>
        <v>10.2</v>
      </c>
      <c r="J66" s="1399" t="str">
        <f t="shared" si="63"/>
        <v xml:space="preserve">Объём отпущенной потребителям воды, определенный расчетным способом</v>
      </c>
      <c r="K66" s="1399">
        <f t="shared" si="64"/>
        <v>0</v>
      </c>
      <c r="L66" s="1385" t="str">
        <f t="shared" si="65"/>
        <v>10.2</v>
      </c>
      <c r="M66" s="1385" t="str">
        <f t="shared" si="66"/>
        <v xml:space="preserve">Объём отпущенной потребителям воды, определенный расчетным способом</v>
      </c>
      <c r="N66" s="1385" t="str">
        <f t="shared" si="67"/>
        <v/>
      </c>
      <c r="O66" s="1400"/>
      <c r="P66" s="1400" t="s">
        <v>2091</v>
      </c>
      <c r="Q66" s="1400"/>
      <c r="R66" s="1400"/>
      <c r="S66" s="1400"/>
      <c r="T66" s="1379"/>
      <c r="U66" s="1379" t="s">
        <v>2176</v>
      </c>
      <c r="V66" s="1379"/>
      <c r="W66" s="1379"/>
      <c r="X66" s="1379"/>
      <c r="Y66" s="1386"/>
      <c r="Z66" s="1364"/>
      <c r="AA66" s="1371"/>
      <c r="AB66" s="1364"/>
      <c r="AC66" s="1364"/>
      <c r="AD66" s="1364"/>
    </row>
    <row r="67" ht="27" customHeight="1">
      <c r="A67" s="1381"/>
      <c r="B67" s="1387">
        <v>50</v>
      </c>
      <c r="C67" s="1379"/>
      <c r="D67" s="1397"/>
      <c r="E67" s="1379"/>
      <c r="F67" s="1379"/>
      <c r="G67" s="1379"/>
      <c r="H67" s="1402"/>
      <c r="I67" s="1399" t="str">
        <f t="shared" si="62"/>
        <v>10.2.1</v>
      </c>
      <c r="J67" s="1399" t="str">
        <f t="shared" si="63"/>
        <v xml:space="preserve">Объём отпущенной потребителям воды, определенный по нормативам потребления коммунальных услуг</v>
      </c>
      <c r="K67" s="1399">
        <f t="shared" si="64"/>
        <v>0</v>
      </c>
      <c r="L67" s="1385" t="str">
        <f t="shared" si="65"/>
        <v>10.2.1</v>
      </c>
      <c r="M67" s="1385" t="str">
        <f t="shared" si="66"/>
        <v xml:space="preserve">Объём отпущенной потребителям воды, определенный по нормативам потребления коммунальных услуг</v>
      </c>
      <c r="N67" s="1385" t="str">
        <f t="shared" si="67"/>
        <v/>
      </c>
      <c r="O67" s="1400"/>
      <c r="P67" s="1400" t="s">
        <v>2177</v>
      </c>
      <c r="Q67" s="1400"/>
      <c r="R67" s="1400"/>
      <c r="S67" s="1400"/>
      <c r="T67" s="1379"/>
      <c r="U67" s="1379" t="s">
        <v>2178</v>
      </c>
      <c r="V67" s="1379"/>
      <c r="W67" s="1379"/>
      <c r="X67" s="1379"/>
      <c r="Y67" s="1386"/>
      <c r="Z67" s="1364"/>
      <c r="AA67" s="1371"/>
      <c r="AB67" s="1364"/>
      <c r="AC67" s="1364"/>
      <c r="AD67" s="1364"/>
    </row>
    <row r="68" ht="27" customHeight="1">
      <c r="A68" s="1381"/>
      <c r="B68" s="1387">
        <v>51</v>
      </c>
      <c r="C68" s="1379"/>
      <c r="D68" s="1397"/>
      <c r="E68" s="1379"/>
      <c r="F68" s="1379"/>
      <c r="G68" s="1379"/>
      <c r="H68" s="1402"/>
      <c r="I68" s="1399" t="str">
        <f t="shared" si="62"/>
        <v>10.2.2</v>
      </c>
      <c r="J68" s="1399" t="str">
        <f t="shared" si="63"/>
        <v xml:space="preserve">Объём отпущенной потребителям воды, определенный по нормативам потребления коммунальных ресурсов</v>
      </c>
      <c r="K68" s="1399">
        <f t="shared" si="64"/>
        <v>0</v>
      </c>
      <c r="L68" s="1385" t="str">
        <f t="shared" si="65"/>
        <v>10.2.2</v>
      </c>
      <c r="M68" s="1385" t="str">
        <f t="shared" si="66"/>
        <v xml:space="preserve">Объём отпущенной потребителям воды, определенный по нормативам потребления коммунальных ресурсов</v>
      </c>
      <c r="N68" s="1385" t="str">
        <f t="shared" si="67"/>
        <v/>
      </c>
      <c r="O68" s="1400"/>
      <c r="P68" s="1400" t="s">
        <v>2179</v>
      </c>
      <c r="Q68" s="1400"/>
      <c r="R68" s="1400"/>
      <c r="S68" s="1400"/>
      <c r="T68" s="1379"/>
      <c r="U68" s="1379" t="s">
        <v>2180</v>
      </c>
      <c r="V68" s="1379"/>
      <c r="W68" s="1379"/>
      <c r="X68" s="1379"/>
      <c r="Y68" s="1386"/>
      <c r="Z68" s="1364"/>
      <c r="AA68" s="1371"/>
      <c r="AB68" s="1364"/>
      <c r="AC68" s="1364"/>
      <c r="AD68" s="1364"/>
    </row>
    <row r="69" ht="9" customHeight="1">
      <c r="A69" s="1381"/>
      <c r="B69" s="1387">
        <v>52</v>
      </c>
      <c r="C69" s="1379"/>
      <c r="D69" s="1397" t="s">
        <v>2181</v>
      </c>
      <c r="E69" s="1379"/>
      <c r="F69" s="1379"/>
      <c r="G69" s="1379"/>
      <c r="H69" s="1402"/>
      <c r="I69" s="1399" t="str">
        <f t="shared" si="62"/>
        <v>11</v>
      </c>
      <c r="J69" s="1399" t="str">
        <f t="shared" si="63"/>
        <v xml:space="preserve">Потери воды в сетях</v>
      </c>
      <c r="K69" s="1399">
        <f t="shared" si="64"/>
        <v>0</v>
      </c>
      <c r="L69" s="1385" t="str">
        <f t="shared" si="65"/>
        <v>11</v>
      </c>
      <c r="M69" s="1385" t="str">
        <f t="shared" si="66"/>
        <v xml:space="preserve">Потери воды в сетях</v>
      </c>
      <c r="N69" s="1385" t="str">
        <f t="shared" si="67"/>
        <v/>
      </c>
      <c r="O69" s="1400"/>
      <c r="P69" s="1400" t="s">
        <v>149</v>
      </c>
      <c r="Q69" s="1400"/>
      <c r="R69" s="1400"/>
      <c r="S69" s="1400"/>
      <c r="T69" s="1379"/>
      <c r="U69" s="1379" t="s">
        <v>2182</v>
      </c>
      <c r="V69" s="1379"/>
      <c r="W69" s="1379"/>
      <c r="X69" s="1379"/>
      <c r="Y69" s="1386"/>
      <c r="Z69" s="1364"/>
      <c r="AA69" s="1371"/>
      <c r="AB69" s="1364"/>
      <c r="AC69" s="1364"/>
      <c r="AD69" s="1364"/>
    </row>
    <row r="70" ht="27" customHeight="1">
      <c r="A70" s="1381"/>
      <c r="B70" s="1387">
        <v>53</v>
      </c>
      <c r="C70" s="1379"/>
      <c r="D70" s="1397"/>
      <c r="E70" s="1379" t="s">
        <v>2166</v>
      </c>
      <c r="F70" s="1379"/>
      <c r="G70" s="1379"/>
      <c r="H70" s="1402"/>
      <c r="I70" s="1399">
        <f t="shared" si="62"/>
        <v>0</v>
      </c>
      <c r="J70" s="1399">
        <f t="shared" si="63"/>
        <v>0</v>
      </c>
      <c r="K70" s="1399">
        <f t="shared" si="64"/>
        <v>0</v>
      </c>
      <c r="L70" s="1385" t="str">
        <f t="shared" si="65"/>
        <v/>
      </c>
      <c r="M70" s="1385" t="str">
        <f t="shared" si="66"/>
        <v/>
      </c>
      <c r="N70" s="1385" t="str">
        <f t="shared" si="67"/>
        <v/>
      </c>
      <c r="O70" s="1400"/>
      <c r="P70" s="1400"/>
      <c r="Q70" s="1400" t="s">
        <v>93</v>
      </c>
      <c r="R70" s="1400"/>
      <c r="S70" s="1400"/>
      <c r="T70" s="1379"/>
      <c r="U70" s="1379"/>
      <c r="V70" s="1379" t="s">
        <v>2183</v>
      </c>
      <c r="W70" s="1379"/>
      <c r="X70" s="1379"/>
      <c r="Y70" s="1386"/>
      <c r="Z70" s="1364"/>
      <c r="AA70" s="1371"/>
      <c r="AB70" s="1364"/>
      <c r="AC70" s="1364"/>
      <c r="AD70" s="1364"/>
    </row>
    <row r="71" ht="36" customHeight="1">
      <c r="A71" s="1381"/>
      <c r="B71" s="1387">
        <v>54</v>
      </c>
      <c r="C71" s="1379"/>
      <c r="D71" s="1397"/>
      <c r="E71" s="1379" t="s">
        <v>2168</v>
      </c>
      <c r="F71" s="1379"/>
      <c r="G71" s="1379"/>
      <c r="H71" s="1402"/>
      <c r="I71" s="1399">
        <f t="shared" si="62"/>
        <v>0</v>
      </c>
      <c r="J71" s="1399">
        <f t="shared" si="63"/>
        <v>0</v>
      </c>
      <c r="K71" s="1399">
        <f t="shared" si="64"/>
        <v>0</v>
      </c>
      <c r="L71" s="1385" t="str">
        <f t="shared" si="65"/>
        <v/>
      </c>
      <c r="M71" s="1385" t="str">
        <f t="shared" si="66"/>
        <v/>
      </c>
      <c r="N71" s="1385" t="str">
        <f t="shared" si="67"/>
        <v/>
      </c>
      <c r="O71" s="1400"/>
      <c r="P71" s="1400"/>
      <c r="Q71" s="1400" t="s">
        <v>112</v>
      </c>
      <c r="R71" s="1400"/>
      <c r="S71" s="1400"/>
      <c r="T71" s="1379"/>
      <c r="U71" s="1379"/>
      <c r="V71" s="1379" t="s">
        <v>2184</v>
      </c>
      <c r="W71" s="1379"/>
      <c r="X71" s="1379"/>
      <c r="Y71" s="1386"/>
      <c r="Z71" s="1364"/>
      <c r="AA71" s="1371"/>
      <c r="AB71" s="1364"/>
      <c r="AC71" s="1364"/>
      <c r="AD71" s="1364"/>
    </row>
    <row r="72" ht="27" customHeight="1">
      <c r="A72" s="1381"/>
      <c r="B72" s="1387">
        <v>55</v>
      </c>
      <c r="C72" s="1379"/>
      <c r="D72" s="1397"/>
      <c r="E72" s="1379" t="s">
        <v>2170</v>
      </c>
      <c r="F72" s="1379"/>
      <c r="G72" s="1379"/>
      <c r="H72" s="1402"/>
      <c r="I72" s="1399">
        <f t="shared" si="62"/>
        <v>0</v>
      </c>
      <c r="J72" s="1399">
        <f t="shared" si="63"/>
        <v>0</v>
      </c>
      <c r="K72" s="1399">
        <f t="shared" si="64"/>
        <v>0</v>
      </c>
      <c r="L72" s="1385" t="str">
        <f t="shared" si="65"/>
        <v/>
      </c>
      <c r="M72" s="1385" t="str">
        <f t="shared" si="66"/>
        <v/>
      </c>
      <c r="N72" s="1385" t="str">
        <f t="shared" si="67"/>
        <v/>
      </c>
      <c r="O72" s="1400"/>
      <c r="P72" s="1400"/>
      <c r="Q72" s="1400" t="s">
        <v>99</v>
      </c>
      <c r="R72" s="1400"/>
      <c r="S72" s="1400"/>
      <c r="T72" s="1379"/>
      <c r="U72" s="1379"/>
      <c r="V72" s="1379" t="s">
        <v>2185</v>
      </c>
      <c r="W72" s="1379"/>
      <c r="X72" s="1379"/>
      <c r="Y72" s="1386"/>
      <c r="Z72" s="1364"/>
      <c r="AA72" s="1371"/>
      <c r="AB72" s="1364"/>
      <c r="AC72" s="1364"/>
      <c r="AD72" s="1364"/>
    </row>
    <row r="73" ht="36" customHeight="1">
      <c r="A73" s="1381"/>
      <c r="B73" s="1387">
        <v>56</v>
      </c>
      <c r="C73" s="1379"/>
      <c r="D73" s="1397"/>
      <c r="E73" s="1379" t="s">
        <v>2172</v>
      </c>
      <c r="F73" s="1379"/>
      <c r="G73" s="1379"/>
      <c r="H73" s="1402"/>
      <c r="I73" s="1399">
        <f t="shared" si="62"/>
        <v>0</v>
      </c>
      <c r="J73" s="1399">
        <f t="shared" si="63"/>
        <v>0</v>
      </c>
      <c r="K73" s="1399">
        <f t="shared" si="64"/>
        <v>0</v>
      </c>
      <c r="L73" s="1385" t="str">
        <f t="shared" si="65"/>
        <v/>
      </c>
      <c r="M73" s="1385" t="str">
        <f t="shared" si="66"/>
        <v/>
      </c>
      <c r="N73" s="1385" t="str">
        <f t="shared" si="67"/>
        <v/>
      </c>
      <c r="O73" s="1400"/>
      <c r="P73" s="1400"/>
      <c r="Q73" s="1400" t="s">
        <v>148</v>
      </c>
      <c r="R73" s="1400"/>
      <c r="S73" s="1400"/>
      <c r="T73" s="1379"/>
      <c r="U73" s="1379"/>
      <c r="V73" s="1379" t="s">
        <v>2186</v>
      </c>
      <c r="W73" s="1379"/>
      <c r="X73" s="1379"/>
      <c r="Y73" s="1386"/>
      <c r="Z73" s="1364"/>
      <c r="AA73" s="1371"/>
      <c r="AB73" s="1364"/>
      <c r="AC73" s="1364"/>
      <c r="AD73" s="1364"/>
    </row>
    <row r="74" ht="18" customHeight="1">
      <c r="A74" s="1381"/>
      <c r="B74" s="1387">
        <v>57</v>
      </c>
      <c r="C74" s="1379"/>
      <c r="D74" s="1397"/>
      <c r="E74" s="1379" t="s">
        <v>2181</v>
      </c>
      <c r="F74" s="1379"/>
      <c r="G74" s="1379"/>
      <c r="H74" s="1402"/>
      <c r="I74" s="1399">
        <f t="shared" si="62"/>
        <v>0</v>
      </c>
      <c r="J74" s="1399">
        <f t="shared" si="63"/>
        <v>0</v>
      </c>
      <c r="K74" s="1399">
        <f t="shared" si="64"/>
        <v>0</v>
      </c>
      <c r="L74" s="1385" t="str">
        <f t="shared" si="65"/>
        <v/>
      </c>
      <c r="M74" s="1385" t="str">
        <f t="shared" si="66"/>
        <v/>
      </c>
      <c r="N74" s="1385" t="str">
        <f t="shared" si="67"/>
        <v/>
      </c>
      <c r="O74" s="1400"/>
      <c r="P74" s="1400"/>
      <c r="Q74" s="1400" t="s">
        <v>149</v>
      </c>
      <c r="R74" s="1400"/>
      <c r="S74" s="1400"/>
      <c r="T74" s="1379"/>
      <c r="U74" s="1379"/>
      <c r="V74" s="1379" t="s">
        <v>2187</v>
      </c>
      <c r="W74" s="1379"/>
      <c r="X74" s="1379"/>
      <c r="Y74" s="1386"/>
      <c r="Z74" s="1364"/>
      <c r="AA74" s="1371"/>
      <c r="AB74" s="1364"/>
      <c r="AC74" s="1364"/>
      <c r="AD74" s="1364"/>
    </row>
    <row r="75" ht="18" customHeight="1">
      <c r="A75" s="1381"/>
      <c r="B75" s="1387">
        <v>58</v>
      </c>
      <c r="C75" s="1379"/>
      <c r="D75" s="1397"/>
      <c r="E75" s="1379"/>
      <c r="F75" s="1379" t="s">
        <v>2166</v>
      </c>
      <c r="G75" s="1379"/>
      <c r="H75" s="1402"/>
      <c r="I75" s="1399">
        <f t="shared" si="62"/>
        <v>0</v>
      </c>
      <c r="J75" s="1399">
        <f t="shared" si="63"/>
        <v>0</v>
      </c>
      <c r="K75" s="1399">
        <f t="shared" si="64"/>
        <v>0</v>
      </c>
      <c r="L75" s="1385" t="str">
        <f t="shared" si="65"/>
        <v/>
      </c>
      <c r="M75" s="1385" t="str">
        <f t="shared" si="66"/>
        <v/>
      </c>
      <c r="N75" s="1385" t="str">
        <f t="shared" si="67"/>
        <v/>
      </c>
      <c r="O75" s="1400"/>
      <c r="P75" s="1400"/>
      <c r="Q75" s="1400"/>
      <c r="R75" s="1400" t="s">
        <v>93</v>
      </c>
      <c r="S75" s="1400"/>
      <c r="T75" s="1379"/>
      <c r="U75" s="1379"/>
      <c r="V75" s="1379"/>
      <c r="W75" s="1379" t="s">
        <v>2188</v>
      </c>
      <c r="X75" s="1379"/>
      <c r="Y75" s="1386"/>
      <c r="Z75" s="1364"/>
      <c r="AA75" s="1371"/>
      <c r="AB75" s="1364"/>
      <c r="AC75" s="1364"/>
      <c r="AD75" s="1364"/>
    </row>
    <row r="76" ht="36" customHeight="1">
      <c r="A76" s="1381"/>
      <c r="B76" s="1387">
        <v>59</v>
      </c>
      <c r="C76" s="1379"/>
      <c r="D76" s="1397"/>
      <c r="E76" s="1379"/>
      <c r="F76" s="1379" t="s">
        <v>2168</v>
      </c>
      <c r="G76" s="1379"/>
      <c r="H76" s="1402"/>
      <c r="I76" s="1399">
        <f t="shared" si="62"/>
        <v>0</v>
      </c>
      <c r="J76" s="1399">
        <f t="shared" si="63"/>
        <v>0</v>
      </c>
      <c r="K76" s="1399">
        <f t="shared" si="64"/>
        <v>0</v>
      </c>
      <c r="L76" s="1385" t="str">
        <f t="shared" si="65"/>
        <v/>
      </c>
      <c r="M76" s="1385" t="str">
        <f t="shared" si="66"/>
        <v/>
      </c>
      <c r="N76" s="1385" t="str">
        <f t="shared" si="67"/>
        <v/>
      </c>
      <c r="O76" s="1400"/>
      <c r="P76" s="1400"/>
      <c r="Q76" s="1400"/>
      <c r="R76" s="1400" t="s">
        <v>112</v>
      </c>
      <c r="S76" s="1400"/>
      <c r="T76" s="1379"/>
      <c r="U76" s="1379"/>
      <c r="V76" s="1379"/>
      <c r="W76" s="1379" t="s">
        <v>2189</v>
      </c>
      <c r="X76" s="1379"/>
      <c r="Y76" s="1386"/>
      <c r="Z76" s="1364"/>
      <c r="AA76" s="1371"/>
      <c r="AB76" s="1364"/>
      <c r="AC76" s="1364"/>
      <c r="AD76" s="1364"/>
    </row>
    <row r="77" ht="18" customHeight="1">
      <c r="A77" s="1381"/>
      <c r="B77" s="1387">
        <v>60</v>
      </c>
      <c r="C77" s="1379"/>
      <c r="D77" s="1397"/>
      <c r="E77" s="1379"/>
      <c r="F77" s="1379" t="s">
        <v>2170</v>
      </c>
      <c r="G77" s="1379"/>
      <c r="H77" s="1402"/>
      <c r="I77" s="1399">
        <f t="shared" si="62"/>
        <v>0</v>
      </c>
      <c r="J77" s="1399">
        <f t="shared" si="63"/>
        <v>0</v>
      </c>
      <c r="K77" s="1399">
        <f t="shared" si="64"/>
        <v>0</v>
      </c>
      <c r="L77" s="1385" t="str">
        <f t="shared" si="65"/>
        <v/>
      </c>
      <c r="M77" s="1385" t="str">
        <f t="shared" si="66"/>
        <v/>
      </c>
      <c r="N77" s="1385" t="str">
        <f t="shared" si="67"/>
        <v/>
      </c>
      <c r="O77" s="1400"/>
      <c r="P77" s="1400"/>
      <c r="Q77" s="1400"/>
      <c r="R77" s="1400" t="s">
        <v>99</v>
      </c>
      <c r="S77" s="1400"/>
      <c r="T77" s="1379"/>
      <c r="U77" s="1379"/>
      <c r="V77" s="1379"/>
      <c r="W77" s="1379" t="s">
        <v>2190</v>
      </c>
      <c r="X77" s="1379"/>
      <c r="Y77" s="1386"/>
      <c r="Z77" s="1364"/>
      <c r="AA77" s="1371"/>
      <c r="AB77" s="1364"/>
      <c r="AC77" s="1364"/>
      <c r="AD77" s="1364"/>
    </row>
    <row r="78" ht="72" customHeight="1">
      <c r="A78" s="1381"/>
      <c r="B78" s="1387">
        <v>61</v>
      </c>
      <c r="C78" s="1379" t="s">
        <v>2166</v>
      </c>
      <c r="D78" s="1397"/>
      <c r="E78" s="1379"/>
      <c r="F78" s="1379"/>
      <c r="G78" s="1379"/>
      <c r="H78" s="1402"/>
      <c r="I78" s="1399">
        <f t="shared" si="62"/>
        <v>0</v>
      </c>
      <c r="J78" s="1399">
        <f t="shared" si="63"/>
        <v>0</v>
      </c>
      <c r="K78" s="1399">
        <f t="shared" si="64"/>
        <v>0</v>
      </c>
      <c r="L78" s="1385" t="str">
        <f t="shared" si="65"/>
        <v/>
      </c>
      <c r="M78" s="1385" t="str">
        <f t="shared" si="66"/>
        <v/>
      </c>
      <c r="N78" s="1385" t="str">
        <f t="shared" si="67"/>
        <v/>
      </c>
      <c r="O78" s="1400" t="s">
        <v>93</v>
      </c>
      <c r="P78" s="1400"/>
      <c r="Q78" s="1400"/>
      <c r="R78" s="1400"/>
      <c r="S78" s="1400"/>
      <c r="T78" s="1379" t="s">
        <v>636</v>
      </c>
      <c r="U78" s="1379"/>
      <c r="V78" s="1379"/>
      <c r="W78" s="1379"/>
      <c r="X78" s="1379"/>
      <c r="Y78" s="1386"/>
      <c r="Z78" s="1364" t="s">
        <v>2191</v>
      </c>
      <c r="AA78" s="1371"/>
      <c r="AB78" s="1364"/>
      <c r="AC78" s="1364"/>
      <c r="AD78" s="1364"/>
    </row>
    <row r="79" ht="36" customHeight="1">
      <c r="A79" s="1381"/>
      <c r="B79" s="1387">
        <v>62</v>
      </c>
      <c r="C79" s="1379" t="s">
        <v>2168</v>
      </c>
      <c r="D79" s="1397"/>
      <c r="E79" s="1379"/>
      <c r="F79" s="1379"/>
      <c r="G79" s="1379"/>
      <c r="H79" s="1402"/>
      <c r="I79" s="1399">
        <f t="shared" si="62"/>
        <v>0</v>
      </c>
      <c r="J79" s="1399">
        <f t="shared" si="63"/>
        <v>0</v>
      </c>
      <c r="K79" s="1399">
        <f t="shared" si="64"/>
        <v>0</v>
      </c>
      <c r="L79" s="1385" t="str">
        <f t="shared" si="65"/>
        <v/>
      </c>
      <c r="M79" s="1385" t="str">
        <f t="shared" si="66"/>
        <v/>
      </c>
      <c r="N79" s="1385" t="str">
        <f t="shared" si="67"/>
        <v/>
      </c>
      <c r="O79" s="1400" t="s">
        <v>112</v>
      </c>
      <c r="P79" s="1400"/>
      <c r="Q79" s="1400"/>
      <c r="R79" s="1400"/>
      <c r="S79" s="1400"/>
      <c r="T79" s="1379" t="s">
        <v>2192</v>
      </c>
      <c r="U79" s="1379"/>
      <c r="V79" s="1379"/>
      <c r="W79" s="1379"/>
      <c r="X79" s="1379"/>
      <c r="Y79" s="1386"/>
      <c r="Z79" s="1364" t="s">
        <v>2193</v>
      </c>
      <c r="AA79" s="1371"/>
      <c r="AB79" s="1364"/>
      <c r="AC79" s="1364"/>
      <c r="AD79" s="1364"/>
    </row>
    <row r="80" ht="45" customHeight="1">
      <c r="A80" s="1381"/>
      <c r="B80" s="1387">
        <v>63</v>
      </c>
      <c r="C80" s="1379" t="s">
        <v>2170</v>
      </c>
      <c r="D80" s="1397"/>
      <c r="E80" s="1379"/>
      <c r="F80" s="1379"/>
      <c r="G80" s="1379"/>
      <c r="H80" s="1402"/>
      <c r="I80" s="1399">
        <f t="shared" si="62"/>
        <v>0</v>
      </c>
      <c r="J80" s="1399">
        <f t="shared" si="63"/>
        <v>0</v>
      </c>
      <c r="K80" s="1399">
        <f t="shared" si="64"/>
        <v>0</v>
      </c>
      <c r="L80" s="1385" t="str">
        <f t="shared" si="65"/>
        <v/>
      </c>
      <c r="M80" s="1385" t="str">
        <f t="shared" si="66"/>
        <v/>
      </c>
      <c r="N80" s="1385" t="str">
        <f t="shared" si="67"/>
        <v/>
      </c>
      <c r="O80" s="1400" t="s">
        <v>99</v>
      </c>
      <c r="P80" s="1400"/>
      <c r="Q80" s="1400"/>
      <c r="R80" s="1400"/>
      <c r="S80" s="1400"/>
      <c r="T80" s="1379" t="s">
        <v>2194</v>
      </c>
      <c r="U80" s="1379"/>
      <c r="V80" s="1379"/>
      <c r="W80" s="1379"/>
      <c r="X80" s="1379"/>
      <c r="Y80" s="1386"/>
      <c r="Z80" s="1364" t="s">
        <v>2195</v>
      </c>
      <c r="AA80" s="1371"/>
      <c r="AB80" s="1364"/>
      <c r="AC80" s="1364"/>
      <c r="AD80" s="1364"/>
    </row>
    <row r="81" ht="36" customHeight="1">
      <c r="A81" s="1381"/>
      <c r="B81" s="1387">
        <v>64</v>
      </c>
      <c r="C81" s="1379" t="s">
        <v>2172</v>
      </c>
      <c r="D81" s="1397"/>
      <c r="E81" s="1379"/>
      <c r="F81" s="1379"/>
      <c r="G81" s="1379"/>
      <c r="H81" s="1402"/>
      <c r="I81" s="1399">
        <f t="shared" si="62"/>
        <v>0</v>
      </c>
      <c r="J81" s="1399">
        <f t="shared" si="63"/>
        <v>0</v>
      </c>
      <c r="K81" s="1399">
        <f t="shared" si="64"/>
        <v>0</v>
      </c>
      <c r="L81" s="1385" t="str">
        <f t="shared" si="65"/>
        <v/>
      </c>
      <c r="M81" s="1385" t="str">
        <f t="shared" si="66"/>
        <v/>
      </c>
      <c r="N81" s="1385" t="str">
        <f t="shared" si="67"/>
        <v/>
      </c>
      <c r="O81" s="1400" t="s">
        <v>2078</v>
      </c>
      <c r="P81" s="1400"/>
      <c r="Q81" s="1400"/>
      <c r="R81" s="1400"/>
      <c r="S81" s="1400"/>
      <c r="T81" s="1379" t="s">
        <v>2196</v>
      </c>
      <c r="U81" s="1379"/>
      <c r="V81" s="1379"/>
      <c r="W81" s="1379"/>
      <c r="X81" s="1379"/>
      <c r="Y81" s="1386"/>
      <c r="Z81" s="1364" t="s">
        <v>2197</v>
      </c>
      <c r="AA81" s="1371"/>
      <c r="AB81" s="1364"/>
      <c r="AC81" s="1364"/>
      <c r="AD81" s="1364"/>
    </row>
    <row r="82" ht="90" customHeight="1">
      <c r="A82" s="1381"/>
      <c r="B82" s="1387">
        <v>65</v>
      </c>
      <c r="C82" s="1379" t="s">
        <v>2181</v>
      </c>
      <c r="D82" s="1397"/>
      <c r="E82" s="1379"/>
      <c r="F82" s="1379"/>
      <c r="G82" s="1379"/>
      <c r="H82" s="1402"/>
      <c r="I82" s="1399">
        <f t="shared" ref="I82:I99" si="68">INDEX(TEMPLATE_NUMBER_POINT_FHD,B82,MATCH(TEMPLATE_SPHERE,TEMPLATE_SPHERE_LIST_FOR_NOTE,0))</f>
        <v>0</v>
      </c>
      <c r="J82" s="1399">
        <f t="shared" ref="J82:J99" si="69">INDEX(TEMPLATE_DATA_POINT_FHD,B82,MATCH(TEMPLATE_SPHERE,TEMPLATE_SPHERE_LIST_FOR_NOTE,0))</f>
        <v>0</v>
      </c>
      <c r="K82" s="1399">
        <f t="shared" ref="K82:K99" si="70">INDEX(TEMPLATE_NOTE_POINT_FHD,B82,MATCH(TEMPLATE_SPHERE,TEMPLATE_SPHERE_LIST_FOR_NOTE,0))</f>
        <v>0</v>
      </c>
      <c r="L82" s="1385" t="str">
        <f t="shared" ref="L82:L99" si="71">IF(I82=0,"",I82)</f>
        <v/>
      </c>
      <c r="M82" s="1385" t="str">
        <f t="shared" ref="M82:M99" si="72">IF(J82=0,"",J82)</f>
        <v/>
      </c>
      <c r="N82" s="1385" t="str">
        <f t="shared" ref="N82:N99" si="73">IF(K82=0,"",K82)</f>
        <v/>
      </c>
      <c r="O82" s="1400" t="s">
        <v>148</v>
      </c>
      <c r="P82" s="1400"/>
      <c r="Q82" s="1400"/>
      <c r="R82" s="1400"/>
      <c r="S82" s="1400"/>
      <c r="T82" s="1379" t="s">
        <v>2198</v>
      </c>
      <c r="U82" s="1379"/>
      <c r="V82" s="1379"/>
      <c r="W82" s="1379"/>
      <c r="X82" s="1379"/>
      <c r="Y82" s="1386"/>
      <c r="Z82" s="1364" t="s">
        <v>2199</v>
      </c>
      <c r="AA82" s="1371"/>
      <c r="AB82" s="1364"/>
      <c r="AC82" s="1364"/>
      <c r="AD82" s="1364"/>
    </row>
    <row r="83" ht="9" customHeight="1">
      <c r="A83" s="1381"/>
      <c r="B83" s="1387">
        <v>66</v>
      </c>
      <c r="C83" s="1379"/>
      <c r="D83" s="1397"/>
      <c r="E83" s="1379"/>
      <c r="F83" s="1379"/>
      <c r="G83" s="1379"/>
      <c r="H83" s="1402"/>
      <c r="I83" s="1399">
        <f t="shared" si="68"/>
        <v>0</v>
      </c>
      <c r="J83" s="1399">
        <f t="shared" si="69"/>
        <v>0</v>
      </c>
      <c r="K83" s="1399">
        <f t="shared" si="70"/>
        <v>0</v>
      </c>
      <c r="L83" s="1385" t="str">
        <f t="shared" si="71"/>
        <v/>
      </c>
      <c r="M83" s="1385" t="str">
        <f t="shared" si="72"/>
        <v/>
      </c>
      <c r="N83" s="1385" t="str">
        <f t="shared" si="73"/>
        <v/>
      </c>
      <c r="O83" s="1400" t="s">
        <v>2087</v>
      </c>
      <c r="P83" s="1400"/>
      <c r="Q83" s="1400"/>
      <c r="R83" s="1400"/>
      <c r="S83" s="1400"/>
      <c r="T83" s="1379" t="s">
        <v>2200</v>
      </c>
      <c r="U83" s="1379"/>
      <c r="V83" s="1379"/>
      <c r="W83" s="1379"/>
      <c r="X83" s="1379"/>
      <c r="Y83" s="1386"/>
      <c r="Z83" s="1364"/>
      <c r="AA83" s="1371"/>
      <c r="AB83" s="1364"/>
      <c r="AC83" s="1364"/>
      <c r="AD83" s="1364"/>
    </row>
    <row r="84" ht="54" customHeight="1">
      <c r="A84" s="1381"/>
      <c r="B84" s="1387">
        <v>67</v>
      </c>
      <c r="C84" s="1379"/>
      <c r="D84" s="1397"/>
      <c r="E84" s="1379"/>
      <c r="F84" s="1379"/>
      <c r="G84" s="1379"/>
      <c r="H84" s="1402"/>
      <c r="I84" s="1399">
        <f t="shared" si="68"/>
        <v>0</v>
      </c>
      <c r="J84" s="1399">
        <f t="shared" si="69"/>
        <v>0</v>
      </c>
      <c r="K84" s="1399">
        <f t="shared" si="70"/>
        <v>0</v>
      </c>
      <c r="L84" s="1385" t="str">
        <f t="shared" si="71"/>
        <v/>
      </c>
      <c r="M84" s="1385" t="str">
        <f t="shared" si="72"/>
        <v/>
      </c>
      <c r="N84" s="1385" t="str">
        <f t="shared" si="73"/>
        <v/>
      </c>
      <c r="O84" s="1400" t="s">
        <v>2201</v>
      </c>
      <c r="P84" s="1400"/>
      <c r="Q84" s="1400"/>
      <c r="R84" s="1400"/>
      <c r="S84" s="1400"/>
      <c r="T84" s="1379" t="s">
        <v>2202</v>
      </c>
      <c r="U84" s="1379"/>
      <c r="V84" s="1379"/>
      <c r="W84" s="1379"/>
      <c r="X84" s="1379"/>
      <c r="Y84" s="1386"/>
      <c r="Z84" s="1364"/>
      <c r="AA84" s="1371"/>
      <c r="AB84" s="1364"/>
      <c r="AC84" s="1364"/>
      <c r="AD84" s="1364"/>
    </row>
    <row r="85" ht="9" customHeight="1">
      <c r="A85" s="1381"/>
      <c r="B85" s="1387">
        <v>68</v>
      </c>
      <c r="C85" s="1379"/>
      <c r="D85" s="1397"/>
      <c r="E85" s="1379"/>
      <c r="F85" s="1379"/>
      <c r="G85" s="1379"/>
      <c r="H85" s="1402"/>
      <c r="I85" s="1399">
        <f t="shared" si="68"/>
        <v>0</v>
      </c>
      <c r="J85" s="1399">
        <f t="shared" si="69"/>
        <v>0</v>
      </c>
      <c r="K85" s="1399">
        <f t="shared" si="70"/>
        <v>0</v>
      </c>
      <c r="L85" s="1385" t="str">
        <f t="shared" si="71"/>
        <v/>
      </c>
      <c r="M85" s="1385" t="str">
        <f t="shared" si="72"/>
        <v/>
      </c>
      <c r="N85" s="1385" t="str">
        <f t="shared" si="73"/>
        <v/>
      </c>
      <c r="O85" s="1400" t="s">
        <v>2091</v>
      </c>
      <c r="P85" s="1400"/>
      <c r="Q85" s="1400"/>
      <c r="R85" s="1400"/>
      <c r="S85" s="1400"/>
      <c r="T85" s="1379" t="s">
        <v>2203</v>
      </c>
      <c r="U85" s="1379"/>
      <c r="V85" s="1379"/>
      <c r="W85" s="1379"/>
      <c r="X85" s="1379"/>
      <c r="Y85" s="1386"/>
      <c r="Z85" s="1364"/>
      <c r="AA85" s="1371"/>
      <c r="AB85" s="1364"/>
      <c r="AC85" s="1364"/>
      <c r="AD85" s="1364"/>
    </row>
    <row r="86" ht="27" customHeight="1">
      <c r="A86" s="1381"/>
      <c r="B86" s="1387">
        <v>69</v>
      </c>
      <c r="C86" s="1379"/>
      <c r="D86" s="1397"/>
      <c r="E86" s="1379"/>
      <c r="F86" s="1379"/>
      <c r="G86" s="1379"/>
      <c r="H86" s="1402"/>
      <c r="I86" s="1399">
        <f t="shared" si="68"/>
        <v>0</v>
      </c>
      <c r="J86" s="1399">
        <f t="shared" si="69"/>
        <v>0</v>
      </c>
      <c r="K86" s="1399">
        <f t="shared" si="70"/>
        <v>0</v>
      </c>
      <c r="L86" s="1385" t="str">
        <f t="shared" si="71"/>
        <v/>
      </c>
      <c r="M86" s="1385" t="str">
        <f t="shared" si="72"/>
        <v/>
      </c>
      <c r="N86" s="1385" t="str">
        <f t="shared" si="73"/>
        <v/>
      </c>
      <c r="O86" s="1400" t="s">
        <v>2204</v>
      </c>
      <c r="P86" s="1400"/>
      <c r="Q86" s="1400"/>
      <c r="R86" s="1400"/>
      <c r="S86" s="1400"/>
      <c r="T86" s="1379" t="s">
        <v>2205</v>
      </c>
      <c r="U86" s="1379"/>
      <c r="V86" s="1379"/>
      <c r="W86" s="1379"/>
      <c r="X86" s="1379"/>
      <c r="Y86" s="1386"/>
      <c r="Z86" s="1364"/>
      <c r="AA86" s="1371"/>
      <c r="AB86" s="1364"/>
      <c r="AC86" s="1364"/>
      <c r="AD86" s="1364"/>
    </row>
    <row r="87" ht="36" customHeight="1">
      <c r="A87" s="1381"/>
      <c r="B87" s="1387">
        <v>70</v>
      </c>
      <c r="C87" s="1379" t="s">
        <v>2206</v>
      </c>
      <c r="D87" s="1397"/>
      <c r="E87" s="1379"/>
      <c r="F87" s="1379"/>
      <c r="G87" s="1379"/>
      <c r="H87" s="1402"/>
      <c r="I87" s="1399">
        <f t="shared" si="68"/>
        <v>0</v>
      </c>
      <c r="J87" s="1399">
        <f t="shared" si="69"/>
        <v>0</v>
      </c>
      <c r="K87" s="1399">
        <f t="shared" si="70"/>
        <v>0</v>
      </c>
      <c r="L87" s="1385" t="str">
        <f t="shared" si="71"/>
        <v/>
      </c>
      <c r="M87" s="1385" t="str">
        <f t="shared" si="72"/>
        <v/>
      </c>
      <c r="N87" s="1385" t="str">
        <f t="shared" si="73"/>
        <v/>
      </c>
      <c r="O87" s="1400" t="s">
        <v>149</v>
      </c>
      <c r="P87" s="1400"/>
      <c r="Q87" s="1400"/>
      <c r="R87" s="1400"/>
      <c r="S87" s="1400"/>
      <c r="T87" s="1379" t="s">
        <v>2207</v>
      </c>
      <c r="U87" s="1379"/>
      <c r="V87" s="1379"/>
      <c r="W87" s="1379"/>
      <c r="X87" s="1379"/>
      <c r="Y87" s="1386"/>
      <c r="Z87" s="1364"/>
      <c r="AA87" s="1371"/>
      <c r="AB87" s="1364"/>
      <c r="AC87" s="1364"/>
      <c r="AD87" s="1364"/>
    </row>
    <row r="88" ht="18" customHeight="1">
      <c r="A88" s="1381"/>
      <c r="B88" s="1387">
        <v>71</v>
      </c>
      <c r="C88" s="1379" t="s">
        <v>2208</v>
      </c>
      <c r="D88" s="1397"/>
      <c r="E88" s="1379"/>
      <c r="F88" s="1379"/>
      <c r="G88" s="1379"/>
      <c r="H88" s="1402"/>
      <c r="I88" s="1399">
        <f t="shared" si="68"/>
        <v>0</v>
      </c>
      <c r="J88" s="1399">
        <f t="shared" si="69"/>
        <v>0</v>
      </c>
      <c r="K88" s="1399">
        <f t="shared" si="70"/>
        <v>0</v>
      </c>
      <c r="L88" s="1385" t="str">
        <f t="shared" si="71"/>
        <v/>
      </c>
      <c r="M88" s="1385" t="str">
        <f t="shared" si="72"/>
        <v/>
      </c>
      <c r="N88" s="1385" t="str">
        <f t="shared" si="73"/>
        <v/>
      </c>
      <c r="O88" s="1400" t="s">
        <v>150</v>
      </c>
      <c r="P88" s="1400"/>
      <c r="Q88" s="1400"/>
      <c r="R88" s="1400"/>
      <c r="S88" s="1400"/>
      <c r="T88" s="1379" t="s">
        <v>668</v>
      </c>
      <c r="U88" s="1379"/>
      <c r="V88" s="1379"/>
      <c r="W88" s="1379"/>
      <c r="X88" s="1379"/>
      <c r="Y88" s="1386"/>
      <c r="Z88" s="1364"/>
      <c r="AA88" s="1371"/>
      <c r="AB88" s="1364"/>
      <c r="AC88" s="1364"/>
      <c r="AD88" s="1364"/>
    </row>
    <row r="89" ht="18" customHeight="1">
      <c r="A89" s="1381"/>
      <c r="B89" s="1387">
        <v>72</v>
      </c>
      <c r="C89" s="1379" t="s">
        <v>2209</v>
      </c>
      <c r="D89" s="1397" t="s">
        <v>2206</v>
      </c>
      <c r="E89" s="1379" t="s">
        <v>2206</v>
      </c>
      <c r="F89" s="1379" t="s">
        <v>2172</v>
      </c>
      <c r="G89" s="1379"/>
      <c r="H89" s="1402"/>
      <c r="I89" s="1399" t="str">
        <f t="shared" si="68"/>
        <v>12</v>
      </c>
      <c r="J89" s="1399" t="str">
        <f t="shared" si="69"/>
        <v xml:space="preserve">Среднесписочная численность основного производственного персонала</v>
      </c>
      <c r="K89" s="1399">
        <f t="shared" si="70"/>
        <v>0</v>
      </c>
      <c r="L89" s="1385" t="str">
        <f t="shared" si="71"/>
        <v>12</v>
      </c>
      <c r="M89" s="1385" t="str">
        <f t="shared" si="72"/>
        <v xml:space="preserve">Среднесписочная численность основного производственного персонала</v>
      </c>
      <c r="N89" s="1385" t="str">
        <f t="shared" si="73"/>
        <v/>
      </c>
      <c r="O89" s="1400" t="s">
        <v>151</v>
      </c>
      <c r="P89" s="1400" t="s">
        <v>150</v>
      </c>
      <c r="Q89" s="1400" t="s">
        <v>150</v>
      </c>
      <c r="R89" s="1400" t="s">
        <v>148</v>
      </c>
      <c r="S89" s="1400"/>
      <c r="T89" s="1379" t="s">
        <v>676</v>
      </c>
      <c r="U89" s="1379" t="s">
        <v>676</v>
      </c>
      <c r="V89" s="1379" t="s">
        <v>676</v>
      </c>
      <c r="W89" s="1379" t="s">
        <v>676</v>
      </c>
      <c r="X89" s="1379"/>
      <c r="Y89" s="1386"/>
      <c r="Z89" s="1364"/>
      <c r="AA89" s="1371"/>
      <c r="AB89" s="1364"/>
      <c r="AC89" s="1364"/>
      <c r="AD89" s="1364"/>
    </row>
    <row r="90" ht="27" customHeight="1">
      <c r="A90" s="1381"/>
      <c r="B90" s="1387">
        <v>73</v>
      </c>
      <c r="C90" s="1379" t="s">
        <v>2210</v>
      </c>
      <c r="D90" s="1397"/>
      <c r="E90" s="1379"/>
      <c r="F90" s="1379"/>
      <c r="G90" s="1379"/>
      <c r="H90" s="1402"/>
      <c r="I90" s="1399">
        <f t="shared" si="68"/>
        <v>0</v>
      </c>
      <c r="J90" s="1399">
        <f t="shared" si="69"/>
        <v>0</v>
      </c>
      <c r="K90" s="1399">
        <f t="shared" si="70"/>
        <v>0</v>
      </c>
      <c r="L90" s="1385" t="str">
        <f t="shared" si="71"/>
        <v/>
      </c>
      <c r="M90" s="1385" t="str">
        <f t="shared" si="72"/>
        <v/>
      </c>
      <c r="N90" s="1385" t="str">
        <f t="shared" si="73"/>
        <v/>
      </c>
      <c r="O90" s="1400" t="s">
        <v>152</v>
      </c>
      <c r="P90" s="1400"/>
      <c r="Q90" s="1400"/>
      <c r="R90" s="1400"/>
      <c r="S90" s="1400"/>
      <c r="T90" s="1379" t="s">
        <v>678</v>
      </c>
      <c r="U90" s="1379"/>
      <c r="V90" s="1379"/>
      <c r="W90" s="1379"/>
      <c r="X90" s="1379"/>
      <c r="Y90" s="1386"/>
      <c r="Z90" s="1364"/>
      <c r="AA90" s="1371"/>
      <c r="AB90" s="1364"/>
      <c r="AC90" s="1364"/>
      <c r="AD90" s="1364"/>
    </row>
    <row r="91" ht="18" customHeight="1">
      <c r="A91" s="1381"/>
      <c r="B91" s="1387">
        <v>74</v>
      </c>
      <c r="C91" s="1379"/>
      <c r="D91" s="1397" t="s">
        <v>2208</v>
      </c>
      <c r="E91" s="1379" t="s">
        <v>2208</v>
      </c>
      <c r="F91" s="1379"/>
      <c r="G91" s="1379"/>
      <c r="H91" s="1402"/>
      <c r="I91" s="1399" t="str">
        <f t="shared" si="68"/>
        <v>13</v>
      </c>
      <c r="J91" s="1399" t="str">
        <f t="shared" si="69"/>
        <v xml:space="preserve">Удельный расход электрической энергии на подачу воды в сеть</v>
      </c>
      <c r="K91" s="1399">
        <f t="shared" si="70"/>
        <v>0</v>
      </c>
      <c r="L91" s="1385" t="str">
        <f t="shared" si="71"/>
        <v>13</v>
      </c>
      <c r="M91" s="1385" t="str">
        <f t="shared" si="72"/>
        <v xml:space="preserve">Удельный расход электрической энергии на подачу воды в сеть</v>
      </c>
      <c r="N91" s="1385" t="str">
        <f t="shared" si="73"/>
        <v/>
      </c>
      <c r="O91" s="1400"/>
      <c r="P91" s="1400" t="s">
        <v>151</v>
      </c>
      <c r="Q91" s="1400" t="s">
        <v>151</v>
      </c>
      <c r="R91" s="1400"/>
      <c r="S91" s="1400"/>
      <c r="T91" s="1379"/>
      <c r="U91" s="1379" t="s">
        <v>2211</v>
      </c>
      <c r="V91" s="1379" t="s">
        <v>2211</v>
      </c>
      <c r="W91" s="1379"/>
      <c r="X91" s="1379"/>
      <c r="Y91" s="1386"/>
      <c r="Z91" s="1364"/>
      <c r="AA91" s="1371"/>
      <c r="AB91" s="1364"/>
      <c r="AC91" s="1364"/>
      <c r="AD91" s="1364"/>
    </row>
    <row r="92" ht="27" customHeight="1">
      <c r="A92" s="1381"/>
      <c r="B92" s="1387">
        <v>75</v>
      </c>
      <c r="C92" s="1379"/>
      <c r="D92" s="1397" t="s">
        <v>2209</v>
      </c>
      <c r="E92" s="1379"/>
      <c r="F92" s="1379"/>
      <c r="G92" s="1379"/>
      <c r="H92" s="1402"/>
      <c r="I92" s="1399" t="str">
        <f t="shared" si="68"/>
        <v>14</v>
      </c>
      <c r="J92" s="1399" t="str">
        <f t="shared" si="69"/>
        <v xml:space="preserve">Расход воды на собственные нужды, в том числе:</v>
      </c>
      <c r="K92" s="1399" t="str">
        <f t="shared" si="70"/>
        <v xml:space="preserve">Указывается доля общего расхода воды на собственные нужны от объема отпуска воды потребителям.</v>
      </c>
      <c r="L92" s="1385" t="str">
        <f t="shared" si="71"/>
        <v>14</v>
      </c>
      <c r="M92" s="1385" t="str">
        <f t="shared" si="72"/>
        <v xml:space="preserve">Расход воды на собственные нужды, в том числе:</v>
      </c>
      <c r="N92" s="1385" t="str">
        <f t="shared" si="73"/>
        <v xml:space="preserve">Указывается доля общего расхода воды на собственные нужны от объема отпуска воды потребителям.</v>
      </c>
      <c r="O92" s="1400"/>
      <c r="P92" s="1400" t="s">
        <v>152</v>
      </c>
      <c r="Q92" s="1400"/>
      <c r="R92" s="1400"/>
      <c r="S92" s="1400"/>
      <c r="T92" s="1379"/>
      <c r="U92" s="1379" t="s">
        <v>2212</v>
      </c>
      <c r="V92" s="1379"/>
      <c r="W92" s="1379"/>
      <c r="X92" s="1379"/>
      <c r="Y92" s="1386"/>
      <c r="Z92" s="1364"/>
      <c r="AA92" s="1371" t="s">
        <v>2213</v>
      </c>
      <c r="AB92" s="1364"/>
      <c r="AC92" s="1364"/>
      <c r="AD92" s="1364"/>
    </row>
    <row r="93" ht="27" customHeight="1">
      <c r="A93" s="1381"/>
      <c r="B93" s="1387">
        <v>76</v>
      </c>
      <c r="C93" s="1379"/>
      <c r="D93" s="1397"/>
      <c r="E93" s="1379"/>
      <c r="F93" s="1379"/>
      <c r="G93" s="1379"/>
      <c r="H93" s="1402"/>
      <c r="I93" s="1399" t="str">
        <f t="shared" si="68"/>
        <v>14.1</v>
      </c>
      <c r="J93" s="1399" t="str">
        <f t="shared" si="69"/>
        <v xml:space="preserve">Расход воды на хозяйственно-бытовые нужды</v>
      </c>
      <c r="K93" s="1399" t="str">
        <f t="shared" si="70"/>
        <v xml:space="preserve">Указывается доля расхода воды на хозяйственно-бытовые нужны от объема отпуска воды потребителям.</v>
      </c>
      <c r="L93" s="1385" t="str">
        <f t="shared" si="71"/>
        <v>14.1</v>
      </c>
      <c r="M93" s="1385" t="str">
        <f t="shared" si="72"/>
        <v xml:space="preserve">Расход воды на хозяйственно-бытовые нужды</v>
      </c>
      <c r="N93" s="1385" t="str">
        <f t="shared" si="73"/>
        <v xml:space="preserve">Указывается доля расхода воды на хозяйственно-бытовые нужны от объема отпуска воды потребителям.</v>
      </c>
      <c r="O93" s="1400"/>
      <c r="P93" s="1400" t="s">
        <v>2119</v>
      </c>
      <c r="Q93" s="1400"/>
      <c r="R93" s="1400"/>
      <c r="S93" s="1400"/>
      <c r="T93" s="1379"/>
      <c r="U93" s="1379" t="s">
        <v>2214</v>
      </c>
      <c r="V93" s="1379"/>
      <c r="W93" s="1379"/>
      <c r="X93" s="1379"/>
      <c r="Y93" s="1386"/>
      <c r="Z93" s="1364"/>
      <c r="AA93" s="1371" t="s">
        <v>2215</v>
      </c>
      <c r="AB93" s="1364"/>
      <c r="AC93" s="1364"/>
      <c r="AD93" s="1364"/>
    </row>
    <row r="94" ht="45" customHeight="1">
      <c r="A94" s="1381"/>
      <c r="B94" s="1387">
        <v>77</v>
      </c>
      <c r="C94" s="1379"/>
      <c r="D94" s="1397" t="s">
        <v>2210</v>
      </c>
      <c r="E94" s="1379"/>
      <c r="F94" s="1379"/>
      <c r="G94" s="1379"/>
      <c r="H94" s="1402"/>
      <c r="I94" s="1399" t="str">
        <f t="shared" si="68"/>
        <v>15</v>
      </c>
      <c r="J94" s="1399" t="str">
        <f t="shared" si="69"/>
        <v xml:space="preserve">Показатель использования производственных объектов (по объему перекачки), в том числе:</v>
      </c>
      <c r="K94" s="1399" t="str">
        <f t="shared" si="70"/>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385" t="str">
        <f t="shared" si="71"/>
        <v>15</v>
      </c>
      <c r="M94" s="1385" t="str">
        <f t="shared" si="72"/>
        <v xml:space="preserve">Показатель использования производственных объектов (по объему перекачки), в том числе:</v>
      </c>
      <c r="N94" s="1385" t="str">
        <f t="shared" si="73"/>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400"/>
      <c r="P94" s="1400" t="s">
        <v>1472</v>
      </c>
      <c r="Q94" s="1400"/>
      <c r="R94" s="1400"/>
      <c r="S94" s="1400"/>
      <c r="T94" s="1379"/>
      <c r="U94" s="1379" t="s">
        <v>2216</v>
      </c>
      <c r="V94" s="1379"/>
      <c r="W94" s="1379"/>
      <c r="X94" s="1379"/>
      <c r="Y94" s="1386"/>
      <c r="Z94" s="1364"/>
      <c r="AA94" s="1371" t="s">
        <v>2217</v>
      </c>
      <c r="AB94" s="1364"/>
      <c r="AC94" s="1364"/>
      <c r="AD94" s="1364"/>
    </row>
    <row r="95" ht="99" customHeight="1">
      <c r="A95" s="1381"/>
      <c r="B95" s="1387">
        <v>78</v>
      </c>
      <c r="C95" s="1379" t="s">
        <v>2218</v>
      </c>
      <c r="D95" s="1397"/>
      <c r="E95" s="1379"/>
      <c r="F95" s="1379"/>
      <c r="G95" s="1379"/>
      <c r="H95" s="1402"/>
      <c r="I95" s="1399">
        <f t="shared" si="68"/>
        <v>0</v>
      </c>
      <c r="J95" s="1399">
        <f t="shared" si="69"/>
        <v>0</v>
      </c>
      <c r="K95" s="1399">
        <f t="shared" si="70"/>
        <v>0</v>
      </c>
      <c r="L95" s="1385" t="str">
        <f t="shared" si="71"/>
        <v/>
      </c>
      <c r="M95" s="1385" t="str">
        <f t="shared" si="72"/>
        <v/>
      </c>
      <c r="N95" s="1385" t="str">
        <f t="shared" si="73"/>
        <v/>
      </c>
      <c r="O95" s="1400" t="s">
        <v>1472</v>
      </c>
      <c r="P95" s="1400"/>
      <c r="Q95" s="1400"/>
      <c r="R95" s="1400"/>
      <c r="S95" s="1400"/>
      <c r="T95" s="1379" t="s">
        <v>2219</v>
      </c>
      <c r="U95" s="1379"/>
      <c r="V95" s="1379"/>
      <c r="W95" s="1379"/>
      <c r="X95" s="1379"/>
      <c r="Y95" s="1386"/>
      <c r="Z95" s="1364"/>
      <c r="AA95" s="1371"/>
      <c r="AB95" s="1364"/>
      <c r="AC95" s="1364"/>
      <c r="AD95" s="1364"/>
    </row>
    <row r="96" ht="99" customHeight="1">
      <c r="A96" s="1381"/>
      <c r="B96" s="1387">
        <v>79</v>
      </c>
      <c r="C96" s="1379" t="s">
        <v>1149</v>
      </c>
      <c r="D96" s="1397"/>
      <c r="E96" s="1379"/>
      <c r="F96" s="1379"/>
      <c r="G96" s="1379"/>
      <c r="H96" s="1402"/>
      <c r="I96" s="1399">
        <f t="shared" si="68"/>
        <v>0</v>
      </c>
      <c r="J96" s="1399">
        <f t="shared" si="69"/>
        <v>0</v>
      </c>
      <c r="K96" s="1399">
        <f t="shared" si="70"/>
        <v>0</v>
      </c>
      <c r="L96" s="1385" t="str">
        <f t="shared" si="71"/>
        <v/>
      </c>
      <c r="M96" s="1385" t="str">
        <f t="shared" si="72"/>
        <v/>
      </c>
      <c r="N96" s="1385" t="str">
        <f t="shared" si="73"/>
        <v/>
      </c>
      <c r="O96" s="1400" t="s">
        <v>1478</v>
      </c>
      <c r="P96" s="1400"/>
      <c r="Q96" s="1400"/>
      <c r="R96" s="1400"/>
      <c r="S96" s="1400"/>
      <c r="T96" s="1379" t="s">
        <v>2220</v>
      </c>
      <c r="U96" s="1379"/>
      <c r="V96" s="1379"/>
      <c r="W96" s="1379"/>
      <c r="X96" s="1379"/>
      <c r="Y96" s="1386"/>
      <c r="Z96" s="1364" t="s">
        <v>2221</v>
      </c>
      <c r="AA96" s="1371"/>
      <c r="AB96" s="1364"/>
      <c r="AC96" s="1364"/>
      <c r="AD96" s="1364"/>
    </row>
    <row r="97" ht="63" customHeight="1">
      <c r="A97" s="1381"/>
      <c r="B97" s="1387">
        <v>80</v>
      </c>
      <c r="C97" s="1379" t="s">
        <v>2222</v>
      </c>
      <c r="D97" s="1397"/>
      <c r="E97" s="1379"/>
      <c r="F97" s="1379"/>
      <c r="G97" s="1379"/>
      <c r="H97" s="1402"/>
      <c r="I97" s="1399">
        <f t="shared" si="68"/>
        <v>0</v>
      </c>
      <c r="J97" s="1399">
        <f t="shared" si="69"/>
        <v>0</v>
      </c>
      <c r="K97" s="1399">
        <f t="shared" si="70"/>
        <v>0</v>
      </c>
      <c r="L97" s="1385" t="str">
        <f t="shared" si="71"/>
        <v/>
      </c>
      <c r="M97" s="1385" t="str">
        <f t="shared" si="72"/>
        <v/>
      </c>
      <c r="N97" s="1385" t="str">
        <f t="shared" si="73"/>
        <v/>
      </c>
      <c r="O97" s="1400" t="s">
        <v>1490</v>
      </c>
      <c r="P97" s="1400"/>
      <c r="Q97" s="1400"/>
      <c r="R97" s="1400"/>
      <c r="S97" s="1400"/>
      <c r="T97" s="1379" t="s">
        <v>2223</v>
      </c>
      <c r="U97" s="1379"/>
      <c r="V97" s="1379"/>
      <c r="W97" s="1379"/>
      <c r="X97" s="1379"/>
      <c r="Y97" s="1386"/>
      <c r="Z97" s="1364" t="s">
        <v>2224</v>
      </c>
      <c r="AA97" s="1371"/>
      <c r="AB97" s="1364"/>
      <c r="AC97" s="1364"/>
      <c r="AD97" s="1364"/>
    </row>
    <row r="98" ht="63" customHeight="1">
      <c r="A98" s="1381"/>
      <c r="B98" s="1387">
        <v>81</v>
      </c>
      <c r="C98" s="1379" t="s">
        <v>2225</v>
      </c>
      <c r="D98" s="1397"/>
      <c r="E98" s="1379"/>
      <c r="F98" s="1379"/>
      <c r="G98" s="1379"/>
      <c r="H98" s="1402"/>
      <c r="I98" s="1399">
        <f t="shared" si="68"/>
        <v>0</v>
      </c>
      <c r="J98" s="1399">
        <f t="shared" si="69"/>
        <v>0</v>
      </c>
      <c r="K98" s="1399">
        <f t="shared" si="70"/>
        <v>0</v>
      </c>
      <c r="L98" s="1385" t="str">
        <f t="shared" si="71"/>
        <v/>
      </c>
      <c r="M98" s="1385" t="str">
        <f t="shared" si="72"/>
        <v/>
      </c>
      <c r="N98" s="1385" t="str">
        <f t="shared" si="73"/>
        <v/>
      </c>
      <c r="O98" s="1400" t="s">
        <v>1504</v>
      </c>
      <c r="P98" s="1400"/>
      <c r="Q98" s="1400"/>
      <c r="R98" s="1400"/>
      <c r="S98" s="1400"/>
      <c r="T98" s="1379" t="s">
        <v>2226</v>
      </c>
      <c r="U98" s="1379"/>
      <c r="V98" s="1379"/>
      <c r="W98" s="1379"/>
      <c r="X98" s="1379"/>
      <c r="Y98" s="1386"/>
      <c r="Z98" s="1364" t="s">
        <v>2224</v>
      </c>
      <c r="AA98" s="1371"/>
      <c r="AB98" s="1364"/>
      <c r="AC98" s="1364"/>
      <c r="AD98" s="1364"/>
    </row>
    <row r="99" ht="90" customHeight="1">
      <c r="A99" s="1381"/>
      <c r="B99" s="1387">
        <v>82</v>
      </c>
      <c r="C99" s="1379" t="s">
        <v>2227</v>
      </c>
      <c r="D99" s="1397"/>
      <c r="E99" s="1379"/>
      <c r="F99" s="1379"/>
      <c r="G99" s="1379"/>
      <c r="H99" s="1402"/>
      <c r="I99" s="1399">
        <f t="shared" si="68"/>
        <v>0</v>
      </c>
      <c r="J99" s="1399">
        <f t="shared" si="69"/>
        <v>0</v>
      </c>
      <c r="K99" s="1399">
        <f t="shared" si="70"/>
        <v>0</v>
      </c>
      <c r="L99" s="1385" t="str">
        <f t="shared" si="71"/>
        <v/>
      </c>
      <c r="M99" s="1385" t="str">
        <f t="shared" si="72"/>
        <v/>
      </c>
      <c r="N99" s="1385" t="str">
        <f t="shared" si="73"/>
        <v/>
      </c>
      <c r="O99" s="1400" t="s">
        <v>1516</v>
      </c>
      <c r="P99" s="1400"/>
      <c r="Q99" s="1400"/>
      <c r="R99" s="1400"/>
      <c r="S99" s="1400"/>
      <c r="T99" s="1379" t="s">
        <v>2228</v>
      </c>
      <c r="U99" s="1379"/>
      <c r="V99" s="1379"/>
      <c r="W99" s="1379"/>
      <c r="X99" s="1379"/>
      <c r="Y99" s="1386"/>
      <c r="Z99" s="1364" t="s">
        <v>633</v>
      </c>
      <c r="AA99" s="1371"/>
      <c r="AB99" s="1364"/>
      <c r="AC99" s="1364"/>
      <c r="AD99" s="1364"/>
    </row>
    <row r="100" ht="27" customHeight="1">
      <c r="A100" s="1381"/>
      <c r="B100" s="1387">
        <v>83</v>
      </c>
      <c r="C100" s="1379"/>
      <c r="D100" s="1397"/>
      <c r="E100" s="1379"/>
      <c r="F100" s="1379"/>
      <c r="G100" s="1379"/>
      <c r="H100" s="1402"/>
      <c r="I100" s="1399">
        <f t="shared" ref="I100:I101" si="74">INDEX(TEMPLATE_NUMBER_POINT_FHD,B100,MATCH(TEMPLATE_SPHERE,TEMPLATE_SPHERE_LIST_FOR_NOTE,0))</f>
        <v>0</v>
      </c>
      <c r="J100" s="1399">
        <f t="shared" ref="J100:J101" si="75">INDEX(TEMPLATE_DATA_POINT_FHD,B100,MATCH(TEMPLATE_SPHERE,TEMPLATE_SPHERE_LIST_FOR_NOTE,0))</f>
        <v>0</v>
      </c>
      <c r="K100" s="1399">
        <f t="shared" ref="K100:K101" si="76">INDEX(TEMPLATE_NOTE_POINT_FHD,B100,MATCH(TEMPLATE_SPHERE,TEMPLATE_SPHERE_LIST_FOR_NOTE,0))</f>
        <v>0</v>
      </c>
      <c r="L100" s="1385" t="str">
        <f t="shared" ref="L100:L101" si="77">IF(I100=0,"",I100)</f>
        <v/>
      </c>
      <c r="M100" s="1385" t="str">
        <f t="shared" ref="M100:M101" si="78">IF(J100=0,"",J100)</f>
        <v/>
      </c>
      <c r="N100" s="1385" t="str">
        <f t="shared" ref="N100:N101" si="79">IF(K100=0,"",K100)</f>
        <v/>
      </c>
      <c r="O100" s="1400" t="s">
        <v>2229</v>
      </c>
      <c r="P100" s="1400"/>
      <c r="Q100" s="1400"/>
      <c r="R100" s="1400"/>
      <c r="S100" s="1400"/>
      <c r="T100" s="1379" t="s">
        <v>2230</v>
      </c>
      <c r="U100" s="1379"/>
      <c r="V100" s="1379"/>
      <c r="W100" s="1379"/>
      <c r="X100" s="1379"/>
      <c r="Y100" s="1386"/>
      <c r="Z100" s="1364" t="s">
        <v>633</v>
      </c>
      <c r="AA100" s="1371"/>
      <c r="AB100" s="1364"/>
      <c r="AC100" s="1364"/>
      <c r="AD100" s="1364"/>
    </row>
    <row r="101" ht="27" customHeight="1">
      <c r="A101" s="1381"/>
      <c r="B101" s="1387">
        <v>84</v>
      </c>
      <c r="C101" s="1379"/>
      <c r="D101" s="1397"/>
      <c r="E101" s="1379"/>
      <c r="F101" s="1379"/>
      <c r="G101" s="1379"/>
      <c r="H101" s="1402"/>
      <c r="I101" s="1399">
        <f t="shared" si="74"/>
        <v>0</v>
      </c>
      <c r="J101" s="1399">
        <f t="shared" si="75"/>
        <v>0</v>
      </c>
      <c r="K101" s="1399">
        <f t="shared" si="76"/>
        <v>0</v>
      </c>
      <c r="L101" s="1385" t="str">
        <f t="shared" si="77"/>
        <v/>
      </c>
      <c r="M101" s="1385" t="str">
        <f t="shared" si="78"/>
        <v/>
      </c>
      <c r="N101" s="1385" t="str">
        <f t="shared" si="79"/>
        <v/>
      </c>
      <c r="O101" s="1400" t="s">
        <v>2231</v>
      </c>
      <c r="P101" s="1400"/>
      <c r="Q101" s="1400"/>
      <c r="R101" s="1400"/>
      <c r="S101" s="1400"/>
      <c r="T101" s="1379" t="s">
        <v>2232</v>
      </c>
      <c r="U101" s="1379"/>
      <c r="V101" s="1379"/>
      <c r="W101" s="1379"/>
      <c r="X101" s="1379"/>
      <c r="Y101" s="1386"/>
      <c r="Z101" s="1364" t="s">
        <v>633</v>
      </c>
      <c r="AA101" s="1371"/>
      <c r="AB101" s="1364"/>
      <c r="AC101" s="1364"/>
      <c r="AD101" s="1364"/>
    </row>
    <row r="102" ht="9" customHeight="1">
      <c r="A102" s="1381"/>
      <c r="B102" s="1381"/>
      <c r="C102" s="1379"/>
      <c r="D102" s="1379"/>
      <c r="E102" s="1379"/>
      <c r="F102" s="1379"/>
      <c r="G102" s="1379"/>
      <c r="H102" s="1402"/>
      <c r="I102" s="1402"/>
      <c r="J102" s="1402"/>
      <c r="K102" s="1402"/>
      <c r="L102" s="1402"/>
      <c r="M102" s="1379"/>
      <c r="N102" s="1407"/>
      <c r="O102" s="1400"/>
      <c r="P102" s="1400"/>
      <c r="Q102" s="1400"/>
      <c r="R102" s="1400"/>
      <c r="S102" s="1379"/>
      <c r="T102" s="1379"/>
      <c r="U102" s="1379"/>
      <c r="V102" s="1379"/>
      <c r="W102" s="1379"/>
      <c r="X102" s="1379"/>
      <c r="Y102" s="1386"/>
      <c r="Z102" s="1364"/>
      <c r="AA102" s="1371"/>
      <c r="AB102" s="1364"/>
      <c r="AC102" s="1364"/>
      <c r="AD102" s="1364"/>
    </row>
    <row r="103" ht="9" customHeight="1">
      <c r="A103" s="1381"/>
      <c r="B103" s="1381"/>
      <c r="C103" s="1379"/>
      <c r="D103" s="1379"/>
      <c r="E103" s="1379"/>
      <c r="F103" s="1379"/>
      <c r="G103" s="1379"/>
      <c r="H103" s="1402"/>
      <c r="I103" s="1402"/>
      <c r="J103" s="1402"/>
      <c r="K103" s="1402"/>
      <c r="L103" s="1402"/>
      <c r="M103" s="1379"/>
      <c r="N103" s="1407"/>
      <c r="O103" s="1400"/>
      <c r="P103" s="1400"/>
      <c r="Q103" s="1400"/>
      <c r="R103" s="1400"/>
      <c r="S103" s="1379"/>
      <c r="T103" s="1379"/>
      <c r="U103" s="1379"/>
      <c r="V103" s="1379"/>
      <c r="W103" s="1379"/>
      <c r="X103" s="1379"/>
      <c r="Y103" s="1386"/>
      <c r="Z103" s="1364"/>
      <c r="AA103" s="1371"/>
      <c r="AB103" s="1364"/>
      <c r="AC103" s="1364"/>
      <c r="AD103" s="1364"/>
    </row>
    <row r="104" ht="9" customHeight="1">
      <c r="A104" s="1381"/>
      <c r="B104" s="1381"/>
      <c r="C104" s="1379"/>
      <c r="D104" s="1379"/>
      <c r="E104" s="1379"/>
      <c r="F104" s="1379"/>
      <c r="G104" s="1379"/>
      <c r="H104" s="1402"/>
      <c r="I104" s="1402"/>
      <c r="J104" s="1402"/>
      <c r="K104" s="1402"/>
      <c r="L104" s="1402"/>
      <c r="M104" s="1379"/>
      <c r="N104" s="1407"/>
      <c r="O104" s="1400"/>
      <c r="P104" s="1400"/>
      <c r="Q104" s="1400"/>
      <c r="R104" s="1400"/>
      <c r="S104" s="1379"/>
      <c r="T104" s="1379"/>
      <c r="U104" s="1379"/>
      <c r="V104" s="1379"/>
      <c r="W104" s="1379"/>
      <c r="X104" s="1379"/>
      <c r="Y104" s="1386"/>
      <c r="Z104" s="1364"/>
      <c r="AA104" s="1371"/>
      <c r="AB104" s="1364"/>
      <c r="AC104" s="1364"/>
      <c r="AD104" s="1364"/>
    </row>
    <row r="105" ht="9" customHeight="1">
      <c r="A105" s="1381"/>
      <c r="B105" s="1381"/>
      <c r="C105" s="1379"/>
      <c r="D105" s="1379"/>
      <c r="E105" s="1379"/>
      <c r="F105" s="1379"/>
      <c r="G105" s="1379"/>
      <c r="H105" s="1402"/>
      <c r="I105" s="1402"/>
      <c r="J105" s="1402"/>
      <c r="K105" s="1402"/>
      <c r="L105" s="1402"/>
      <c r="M105" s="1379"/>
      <c r="N105" s="1407"/>
      <c r="O105" s="1400"/>
      <c r="P105" s="1400"/>
      <c r="Q105" s="1400"/>
      <c r="R105" s="1400"/>
      <c r="S105" s="1379"/>
      <c r="T105" s="1379"/>
      <c r="U105" s="1379"/>
      <c r="V105" s="1379"/>
      <c r="W105" s="1379"/>
      <c r="X105" s="1379"/>
      <c r="Y105" s="1386"/>
      <c r="Z105" s="1364"/>
      <c r="AA105" s="1371"/>
      <c r="AB105" s="1364"/>
      <c r="AC105" s="1364"/>
      <c r="AD105" s="1364"/>
    </row>
    <row r="106" ht="9" customHeight="1">
      <c r="A106" s="1381"/>
      <c r="B106" s="1381"/>
      <c r="C106" s="1379"/>
      <c r="D106" s="1379"/>
      <c r="E106" s="1379"/>
      <c r="F106" s="1379"/>
      <c r="G106" s="1379"/>
      <c r="H106" s="1402"/>
      <c r="I106" s="1402"/>
      <c r="J106" s="1402"/>
      <c r="K106" s="1402"/>
      <c r="L106" s="1402"/>
      <c r="M106" s="1379"/>
      <c r="N106" s="1407"/>
      <c r="O106" s="1400"/>
      <c r="P106" s="1400"/>
      <c r="Q106" s="1400"/>
      <c r="R106" s="1400"/>
      <c r="S106" s="1379"/>
      <c r="T106" s="1379"/>
      <c r="U106" s="1379"/>
      <c r="V106" s="1379"/>
      <c r="W106" s="1379"/>
      <c r="X106" s="1379"/>
      <c r="Y106" s="1386"/>
      <c r="Z106" s="1364"/>
      <c r="AA106" s="1371"/>
      <c r="AB106" s="1364"/>
      <c r="AC106" s="1364"/>
      <c r="AD106" s="1364"/>
    </row>
    <row r="107" ht="9" customHeight="1">
      <c r="A107" s="1381"/>
      <c r="B107" s="1381"/>
      <c r="C107" s="1379"/>
      <c r="D107" s="1379"/>
      <c r="E107" s="1379"/>
      <c r="F107" s="1379"/>
      <c r="G107" s="1379"/>
      <c r="H107" s="1402"/>
      <c r="I107" s="1402"/>
      <c r="J107" s="1402"/>
      <c r="K107" s="1402"/>
      <c r="L107" s="1402"/>
      <c r="M107" s="1379"/>
      <c r="N107" s="1407"/>
      <c r="O107" s="1400"/>
      <c r="P107" s="1400"/>
      <c r="Q107" s="1400"/>
      <c r="R107" s="1400"/>
      <c r="S107" s="1379"/>
      <c r="T107" s="1379"/>
      <c r="U107" s="1379"/>
      <c r="V107" s="1379"/>
      <c r="W107" s="1379"/>
      <c r="X107" s="1379"/>
      <c r="Y107" s="1386"/>
      <c r="Z107" s="1364"/>
      <c r="AA107" s="1371"/>
      <c r="AB107" s="1364"/>
      <c r="AC107" s="1364"/>
      <c r="AD107" s="1364"/>
    </row>
    <row r="108" ht="9" customHeight="1">
      <c r="A108" s="1381"/>
      <c r="B108" s="1381"/>
      <c r="C108" s="1379"/>
      <c r="D108" s="1379"/>
      <c r="E108" s="1379"/>
      <c r="F108" s="1379"/>
      <c r="G108" s="1379"/>
      <c r="H108" s="1402"/>
      <c r="I108" s="1402"/>
      <c r="J108" s="1402"/>
      <c r="K108" s="1402"/>
      <c r="L108" s="1402"/>
      <c r="M108" s="1379"/>
      <c r="N108" s="1407"/>
      <c r="O108" s="1400"/>
      <c r="P108" s="1400"/>
      <c r="Q108" s="1400"/>
      <c r="R108" s="1400"/>
      <c r="S108" s="1379"/>
      <c r="T108" s="1379"/>
      <c r="U108" s="1379"/>
      <c r="V108" s="1379"/>
      <c r="W108" s="1379"/>
      <c r="X108" s="1379"/>
      <c r="Y108" s="1386"/>
      <c r="Z108" s="1364"/>
      <c r="AA108" s="1371"/>
      <c r="AB108" s="1364"/>
      <c r="AC108" s="1364"/>
      <c r="AD108" s="1364"/>
    </row>
    <row r="109" ht="9" customHeight="1">
      <c r="A109" s="1381"/>
      <c r="B109" s="1381"/>
      <c r="C109" s="1379"/>
      <c r="D109" s="1379"/>
      <c r="E109" s="1379"/>
      <c r="F109" s="1379"/>
      <c r="G109" s="1379"/>
      <c r="H109" s="1402"/>
      <c r="I109" s="1402"/>
      <c r="J109" s="1402"/>
      <c r="K109" s="1402"/>
      <c r="L109" s="1402"/>
      <c r="M109" s="1379"/>
      <c r="N109" s="1407"/>
      <c r="O109" s="1400"/>
      <c r="P109" s="1400"/>
      <c r="Q109" s="1400"/>
      <c r="R109" s="1400"/>
      <c r="S109" s="1379"/>
      <c r="T109" s="1379"/>
      <c r="U109" s="1379"/>
      <c r="V109" s="1379"/>
      <c r="W109" s="1379"/>
      <c r="X109" s="1379"/>
      <c r="Y109" s="1386"/>
      <c r="Z109" s="1364"/>
      <c r="AA109" s="1371"/>
      <c r="AB109" s="1364"/>
      <c r="AC109" s="1364"/>
      <c r="AD109" s="1364"/>
    </row>
    <row r="110" ht="9" customHeight="1">
      <c r="A110" s="1381"/>
      <c r="B110" s="1381"/>
      <c r="C110" s="1379"/>
      <c r="D110" s="1379"/>
      <c r="E110" s="1379"/>
      <c r="F110" s="1379"/>
      <c r="G110" s="1379"/>
      <c r="H110" s="1402"/>
      <c r="I110" s="1402"/>
      <c r="J110" s="1402"/>
      <c r="K110" s="1402"/>
      <c r="L110" s="1402"/>
      <c r="M110" s="1379"/>
      <c r="N110" s="1407"/>
      <c r="O110" s="1400"/>
      <c r="P110" s="1400"/>
      <c r="Q110" s="1400"/>
      <c r="R110" s="1400"/>
      <c r="S110" s="1379"/>
      <c r="T110" s="1379"/>
      <c r="U110" s="1379"/>
      <c r="V110" s="1379"/>
      <c r="W110" s="1379"/>
      <c r="X110" s="1379"/>
      <c r="Y110" s="1386"/>
      <c r="Z110" s="1364"/>
      <c r="AA110" s="1371"/>
      <c r="AB110" s="1364"/>
      <c r="AC110" s="1364"/>
      <c r="AD110" s="1364"/>
    </row>
    <row r="111" ht="9" customHeight="1">
      <c r="A111" s="1381"/>
      <c r="B111" s="1381"/>
      <c r="C111" s="1379"/>
      <c r="D111" s="1379"/>
      <c r="E111" s="1379"/>
      <c r="F111" s="1379"/>
      <c r="G111" s="1379"/>
      <c r="H111" s="1402"/>
      <c r="I111" s="1402"/>
      <c r="J111" s="1402"/>
      <c r="K111" s="1402"/>
      <c r="L111" s="1402"/>
      <c r="M111" s="1379"/>
      <c r="N111" s="1407"/>
      <c r="O111" s="1400"/>
      <c r="P111" s="1400"/>
      <c r="Q111" s="1400"/>
      <c r="R111" s="1400"/>
      <c r="S111" s="1379"/>
      <c r="T111" s="1379"/>
      <c r="U111" s="1379"/>
      <c r="V111" s="1379"/>
      <c r="W111" s="1379"/>
      <c r="X111" s="1379"/>
      <c r="Y111" s="1386"/>
      <c r="Z111" s="1364"/>
      <c r="AA111" s="1371"/>
      <c r="AB111" s="1364"/>
      <c r="AC111" s="1364"/>
      <c r="AD111" s="1364"/>
    </row>
    <row r="112" ht="9" customHeight="1">
      <c r="A112" s="1381"/>
      <c r="B112" s="1381"/>
      <c r="C112" s="1379"/>
      <c r="D112" s="1379"/>
      <c r="E112" s="1379"/>
      <c r="F112" s="1379"/>
      <c r="G112" s="1379"/>
      <c r="H112" s="1402"/>
      <c r="I112" s="1402"/>
      <c r="J112" s="1402"/>
      <c r="K112" s="1402"/>
      <c r="L112" s="1402"/>
      <c r="M112" s="1379"/>
      <c r="N112" s="1407"/>
      <c r="O112" s="1400"/>
      <c r="P112" s="1400"/>
      <c r="Q112" s="1400"/>
      <c r="R112" s="1400"/>
      <c r="S112" s="1379"/>
      <c r="T112" s="1379"/>
      <c r="U112" s="1379"/>
      <c r="V112" s="1379"/>
      <c r="W112" s="1379"/>
      <c r="X112" s="1379"/>
      <c r="Y112" s="1386"/>
      <c r="Z112" s="1364"/>
      <c r="AA112" s="1371"/>
      <c r="AB112" s="1364"/>
      <c r="AC112" s="1364"/>
      <c r="AD112" s="1364"/>
    </row>
    <row r="113" ht="9" customHeight="1">
      <c r="A113" s="1381"/>
      <c r="B113" s="1381"/>
      <c r="C113" s="1379"/>
      <c r="D113" s="1379"/>
      <c r="E113" s="1379"/>
      <c r="F113" s="1379"/>
      <c r="G113" s="1379"/>
      <c r="H113" s="1402"/>
      <c r="I113" s="1402"/>
      <c r="J113" s="1402"/>
      <c r="K113" s="1402"/>
      <c r="L113" s="1402"/>
      <c r="M113" s="1379"/>
      <c r="N113" s="1407"/>
      <c r="O113" s="1400"/>
      <c r="P113" s="1400"/>
      <c r="Q113" s="1400"/>
      <c r="R113" s="1400"/>
      <c r="S113" s="1379"/>
      <c r="T113" s="1379"/>
      <c r="U113" s="1379"/>
      <c r="V113" s="1379"/>
      <c r="W113" s="1379"/>
      <c r="X113" s="1379"/>
      <c r="Y113" s="1386"/>
      <c r="Z113" s="1364"/>
      <c r="AA113" s="1371"/>
      <c r="AB113" s="1364"/>
      <c r="AC113" s="1364"/>
      <c r="AD113" s="1364"/>
    </row>
    <row r="114" ht="9" customHeight="1">
      <c r="A114" s="1381"/>
      <c r="B114" s="1381"/>
      <c r="C114" s="1379"/>
      <c r="D114" s="1379"/>
      <c r="E114" s="1379"/>
      <c r="F114" s="1379"/>
      <c r="G114" s="1379"/>
      <c r="H114" s="1402"/>
      <c r="I114" s="1402"/>
      <c r="J114" s="1402"/>
      <c r="K114" s="1402"/>
      <c r="L114" s="1402"/>
      <c r="M114" s="1379"/>
      <c r="N114" s="1407"/>
      <c r="O114" s="1400"/>
      <c r="P114" s="1400"/>
      <c r="Q114" s="1400"/>
      <c r="R114" s="1400"/>
      <c r="S114" s="1379"/>
      <c r="T114" s="1379"/>
      <c r="U114" s="1379"/>
      <c r="V114" s="1379"/>
      <c r="W114" s="1379"/>
      <c r="X114" s="1379"/>
      <c r="Y114" s="1386"/>
      <c r="Z114" s="1364"/>
      <c r="AA114" s="1371"/>
      <c r="AB114" s="1364"/>
      <c r="AC114" s="1364"/>
      <c r="AD114" s="1364"/>
    </row>
    <row r="115" ht="9" customHeight="1">
      <c r="A115" s="1381"/>
      <c r="B115" s="1381"/>
      <c r="C115" s="1379"/>
      <c r="D115" s="1379"/>
      <c r="E115" s="1379"/>
      <c r="F115" s="1379"/>
      <c r="G115" s="1379"/>
      <c r="H115" s="1402"/>
      <c r="I115" s="1402"/>
      <c r="J115" s="1402"/>
      <c r="K115" s="1402"/>
      <c r="L115" s="1402"/>
      <c r="M115" s="1379"/>
      <c r="N115" s="1407"/>
      <c r="O115" s="1400"/>
      <c r="P115" s="1400"/>
      <c r="Q115" s="1400"/>
      <c r="R115" s="1400"/>
      <c r="S115" s="1379"/>
      <c r="T115" s="1379"/>
      <c r="U115" s="1379"/>
      <c r="V115" s="1379"/>
      <c r="W115" s="1379"/>
      <c r="X115" s="1379"/>
      <c r="Y115" s="1386"/>
      <c r="Z115" s="1364"/>
      <c r="AA115" s="1371"/>
      <c r="AB115" s="1364"/>
      <c r="AC115" s="1364"/>
      <c r="AD115" s="1364"/>
    </row>
    <row r="116" ht="9" customHeight="1">
      <c r="A116" s="1381"/>
      <c r="B116" s="1381"/>
      <c r="C116" s="1379"/>
      <c r="D116" s="1379"/>
      <c r="E116" s="1379"/>
      <c r="F116" s="1379"/>
      <c r="G116" s="1379"/>
      <c r="H116" s="1402"/>
      <c r="I116" s="1402"/>
      <c r="J116" s="1402"/>
      <c r="K116" s="1402"/>
      <c r="L116" s="1402"/>
      <c r="M116" s="1379"/>
      <c r="N116" s="1407"/>
      <c r="O116" s="1400"/>
      <c r="P116" s="1400"/>
      <c r="Q116" s="1400"/>
      <c r="R116" s="1400"/>
      <c r="S116" s="1379"/>
      <c r="T116" s="1379"/>
      <c r="U116" s="1379"/>
      <c r="V116" s="1379"/>
      <c r="W116" s="1379"/>
      <c r="X116" s="1379"/>
      <c r="Y116" s="1386"/>
      <c r="Z116" s="1364"/>
      <c r="AA116" s="1371"/>
      <c r="AB116" s="1364"/>
      <c r="AC116" s="1364"/>
      <c r="AD116" s="1364"/>
    </row>
    <row r="117" ht="9" customHeight="1">
      <c r="A117" s="1381"/>
      <c r="B117" s="1381"/>
      <c r="C117" s="1379"/>
      <c r="D117" s="1379"/>
      <c r="E117" s="1379"/>
      <c r="F117" s="1379"/>
      <c r="G117" s="1379"/>
      <c r="H117" s="1402"/>
      <c r="I117" s="1402"/>
      <c r="J117" s="1402"/>
      <c r="K117" s="1402"/>
      <c r="L117" s="1402"/>
      <c r="M117" s="1379"/>
      <c r="N117" s="1407"/>
      <c r="O117" s="1400"/>
      <c r="P117" s="1400"/>
      <c r="Q117" s="1400"/>
      <c r="R117" s="1400"/>
      <c r="S117" s="1379"/>
      <c r="T117" s="1379"/>
      <c r="U117" s="1379"/>
      <c r="V117" s="1379"/>
      <c r="W117" s="1379"/>
      <c r="X117" s="1379"/>
      <c r="Y117" s="1386"/>
      <c r="Z117" s="1364"/>
      <c r="AA117" s="1371"/>
      <c r="AB117" s="1364"/>
      <c r="AC117" s="1364"/>
      <c r="AD117" s="1364"/>
    </row>
    <row r="118" ht="9" customHeight="1">
      <c r="A118" s="1381"/>
      <c r="B118" s="1381"/>
      <c r="C118" s="1379"/>
      <c r="D118" s="1379"/>
      <c r="E118" s="1379"/>
      <c r="F118" s="1379"/>
      <c r="G118" s="1379"/>
      <c r="H118" s="1402"/>
      <c r="I118" s="1402"/>
      <c r="J118" s="1402"/>
      <c r="K118" s="1402"/>
      <c r="L118" s="1402"/>
      <c r="M118" s="1379"/>
      <c r="N118" s="1407"/>
      <c r="O118" s="1400"/>
      <c r="P118" s="1400"/>
      <c r="Q118" s="1400"/>
      <c r="R118" s="1400"/>
      <c r="S118" s="1379"/>
      <c r="T118" s="1379"/>
      <c r="U118" s="1379"/>
      <c r="V118" s="1379"/>
      <c r="W118" s="1379"/>
      <c r="X118" s="1379"/>
      <c r="Y118" s="1386"/>
      <c r="Z118" s="1364"/>
      <c r="AA118" s="1371"/>
      <c r="AB118" s="1364"/>
      <c r="AC118" s="1364"/>
      <c r="AD118" s="1364"/>
    </row>
    <row r="119" ht="9" customHeight="1">
      <c r="A119" s="1381"/>
      <c r="B119" s="1381"/>
      <c r="C119" s="1379"/>
      <c r="D119" s="1379"/>
      <c r="E119" s="1379"/>
      <c r="F119" s="1379"/>
      <c r="G119" s="1379"/>
      <c r="H119" s="1402"/>
      <c r="I119" s="1402"/>
      <c r="J119" s="1402"/>
      <c r="K119" s="1402"/>
      <c r="L119" s="1402"/>
      <c r="M119" s="1379"/>
      <c r="N119" s="1407"/>
      <c r="O119" s="1400"/>
      <c r="P119" s="1400"/>
      <c r="Q119" s="1400"/>
      <c r="R119" s="1400"/>
      <c r="S119" s="1379"/>
      <c r="T119" s="1379"/>
      <c r="U119" s="1379"/>
      <c r="V119" s="1379"/>
      <c r="W119" s="1379"/>
      <c r="X119" s="1379"/>
      <c r="Y119" s="1386"/>
      <c r="Z119" s="1364"/>
      <c r="AA119" s="1371"/>
      <c r="AB119" s="1364"/>
      <c r="AC119" s="1364"/>
      <c r="AD119" s="1364"/>
    </row>
    <row r="120" ht="9" customHeight="1">
      <c r="A120" s="1381"/>
      <c r="B120" s="1381"/>
      <c r="C120" s="1379"/>
      <c r="D120" s="1379"/>
      <c r="E120" s="1379"/>
      <c r="F120" s="1379"/>
      <c r="G120" s="1379"/>
      <c r="H120" s="1402"/>
      <c r="I120" s="1402"/>
      <c r="J120" s="1402"/>
      <c r="K120" s="1402"/>
      <c r="L120" s="1402"/>
      <c r="M120" s="1379"/>
      <c r="N120" s="1407"/>
      <c r="O120" s="1400"/>
      <c r="P120" s="1400"/>
      <c r="Q120" s="1400"/>
      <c r="R120" s="1400"/>
      <c r="S120" s="1379"/>
      <c r="T120" s="1379"/>
      <c r="U120" s="1379"/>
      <c r="V120" s="1379"/>
      <c r="W120" s="1379"/>
      <c r="X120" s="1379"/>
      <c r="Y120" s="1386"/>
      <c r="Z120" s="1364"/>
      <c r="AA120" s="1371"/>
      <c r="AB120" s="1364"/>
      <c r="AC120" s="1364"/>
      <c r="AD120" s="1364"/>
    </row>
    <row r="121" ht="9" customHeight="1">
      <c r="A121" s="1381"/>
      <c r="B121" s="1381"/>
      <c r="C121" s="1379"/>
      <c r="D121" s="1379"/>
      <c r="E121" s="1379"/>
      <c r="F121" s="1379"/>
      <c r="G121" s="1379"/>
      <c r="H121" s="1402"/>
      <c r="I121" s="1402"/>
      <c r="J121" s="1402"/>
      <c r="K121" s="1402"/>
      <c r="L121" s="1402"/>
      <c r="M121" s="1379"/>
      <c r="N121" s="1407"/>
      <c r="O121" s="1400"/>
      <c r="P121" s="1400"/>
      <c r="Q121" s="1400"/>
      <c r="R121" s="1400"/>
      <c r="S121" s="1379"/>
      <c r="T121" s="1379"/>
      <c r="U121" s="1379"/>
      <c r="V121" s="1379"/>
      <c r="W121" s="1379"/>
      <c r="X121" s="1379"/>
      <c r="Y121" s="1386"/>
      <c r="Z121" s="1364"/>
      <c r="AA121" s="1371"/>
      <c r="AB121" s="1364"/>
      <c r="AC121" s="1364"/>
      <c r="AD121" s="1364"/>
    </row>
    <row r="122" ht="9" customHeight="1">
      <c r="A122" s="1381"/>
      <c r="B122" s="1381"/>
      <c r="C122" s="1379"/>
      <c r="D122" s="1379"/>
      <c r="E122" s="1379"/>
      <c r="F122" s="1379"/>
      <c r="G122" s="1379"/>
      <c r="H122" s="1402"/>
      <c r="I122" s="1402"/>
      <c r="J122" s="1402"/>
      <c r="K122" s="1402"/>
      <c r="L122" s="1402"/>
      <c r="M122" s="1379"/>
      <c r="N122" s="1407"/>
      <c r="O122" s="1400"/>
      <c r="P122" s="1400"/>
      <c r="Q122" s="1400"/>
      <c r="R122" s="1400"/>
      <c r="S122" s="1379"/>
      <c r="T122" s="1379"/>
      <c r="U122" s="1379"/>
      <c r="V122" s="1379"/>
      <c r="W122" s="1379"/>
      <c r="X122" s="1379"/>
      <c r="Y122" s="1386"/>
      <c r="Z122" s="1364"/>
      <c r="AA122" s="1371"/>
      <c r="AB122" s="1364"/>
      <c r="AC122" s="1364"/>
      <c r="AD122" s="1364"/>
    </row>
    <row r="123" ht="9" customHeight="1">
      <c r="A123" s="1381"/>
      <c r="B123" s="1381"/>
      <c r="C123" s="1379"/>
      <c r="D123" s="1379"/>
      <c r="E123" s="1379"/>
      <c r="F123" s="1379"/>
      <c r="G123" s="1379"/>
      <c r="H123" s="1402"/>
      <c r="I123" s="1402"/>
      <c r="J123" s="1402"/>
      <c r="K123" s="1402"/>
      <c r="L123" s="1402"/>
      <c r="M123" s="1379"/>
      <c r="N123" s="1407"/>
      <c r="O123" s="1400"/>
      <c r="P123" s="1400"/>
      <c r="Q123" s="1400"/>
      <c r="R123" s="1400"/>
      <c r="S123" s="1379"/>
      <c r="T123" s="1379"/>
      <c r="U123" s="1379"/>
      <c r="V123" s="1379"/>
      <c r="W123" s="1379"/>
      <c r="X123" s="1379"/>
      <c r="Y123" s="1386"/>
      <c r="Z123" s="1364"/>
      <c r="AA123" s="1371"/>
      <c r="AB123" s="1364"/>
      <c r="AC123" s="1364"/>
      <c r="AD123" s="1364"/>
    </row>
    <row r="124" ht="9" customHeight="1">
      <c r="A124" s="1381"/>
      <c r="B124" s="1381"/>
      <c r="C124" s="1379"/>
      <c r="D124" s="1379"/>
      <c r="E124" s="1379"/>
      <c r="F124" s="1379"/>
      <c r="G124" s="1379"/>
      <c r="H124" s="1402"/>
      <c r="I124" s="1402"/>
      <c r="J124" s="1402"/>
      <c r="K124" s="1402"/>
      <c r="L124" s="1402"/>
      <c r="M124" s="1379"/>
      <c r="N124" s="1407"/>
      <c r="O124" s="1400"/>
      <c r="P124" s="1400"/>
      <c r="Q124" s="1400"/>
      <c r="R124" s="1400"/>
      <c r="S124" s="1379"/>
      <c r="T124" s="1379"/>
      <c r="U124" s="1379"/>
      <c r="V124" s="1379"/>
      <c r="W124" s="1379"/>
      <c r="X124" s="1379"/>
      <c r="Y124" s="1386"/>
      <c r="Z124" s="1364"/>
      <c r="AA124" s="1371"/>
      <c r="AB124" s="1364"/>
      <c r="AC124" s="1364"/>
      <c r="AD124" s="1364"/>
    </row>
    <row r="125" ht="9" customHeight="1">
      <c r="A125" s="1381"/>
      <c r="B125" s="1381"/>
      <c r="C125" s="1379"/>
      <c r="D125" s="1379"/>
      <c r="E125" s="1379"/>
      <c r="F125" s="1379"/>
      <c r="G125" s="1379"/>
      <c r="H125" s="1402"/>
      <c r="I125" s="1402"/>
      <c r="J125" s="1402"/>
      <c r="K125" s="1402"/>
      <c r="L125" s="1402"/>
      <c r="M125" s="1379"/>
      <c r="N125" s="1407"/>
      <c r="O125" s="1400"/>
      <c r="P125" s="1400"/>
      <c r="Q125" s="1400"/>
      <c r="R125" s="1400"/>
      <c r="S125" s="1379"/>
      <c r="T125" s="1379"/>
      <c r="U125" s="1379"/>
      <c r="V125" s="1379"/>
      <c r="W125" s="1379"/>
      <c r="X125" s="1379"/>
      <c r="Y125" s="1386"/>
      <c r="Z125" s="1364"/>
      <c r="AA125" s="1371"/>
      <c r="AB125" s="1364"/>
      <c r="AC125" s="1364"/>
      <c r="AD125" s="1364"/>
    </row>
    <row r="126" ht="9" customHeight="1">
      <c r="A126" s="1381"/>
      <c r="B126" s="1381"/>
      <c r="C126" s="1379"/>
      <c r="D126" s="1379"/>
      <c r="E126" s="1379"/>
      <c r="F126" s="1379"/>
      <c r="G126" s="1379"/>
      <c r="H126" s="1402"/>
      <c r="I126" s="1402"/>
      <c r="J126" s="1402"/>
      <c r="K126" s="1402"/>
      <c r="L126" s="1402"/>
      <c r="M126" s="1379"/>
      <c r="N126" s="1407"/>
      <c r="O126" s="1400"/>
      <c r="P126" s="1400"/>
      <c r="Q126" s="1400"/>
      <c r="R126" s="1400"/>
      <c r="S126" s="1379"/>
      <c r="T126" s="1379"/>
      <c r="U126" s="1379"/>
      <c r="V126" s="1379"/>
      <c r="W126" s="1379"/>
      <c r="X126" s="1379"/>
      <c r="Y126" s="1386"/>
      <c r="Z126" s="1364"/>
      <c r="AA126" s="1371"/>
      <c r="AB126" s="1364"/>
      <c r="AC126" s="1364"/>
      <c r="AD126" s="1364"/>
    </row>
    <row r="127" ht="9" customHeight="1">
      <c r="A127" s="1381"/>
      <c r="B127" s="1381"/>
      <c r="C127" s="1379"/>
      <c r="D127" s="1379"/>
      <c r="E127" s="1379"/>
      <c r="F127" s="1379"/>
      <c r="G127" s="1379"/>
      <c r="H127" s="1402"/>
      <c r="I127" s="1402"/>
      <c r="J127" s="1402"/>
      <c r="K127" s="1402"/>
      <c r="L127" s="1402"/>
      <c r="M127" s="1379"/>
      <c r="N127" s="1407"/>
      <c r="O127" s="1400"/>
      <c r="P127" s="1400"/>
      <c r="Q127" s="1400"/>
      <c r="R127" s="1400"/>
      <c r="S127" s="1379"/>
      <c r="T127" s="1379"/>
      <c r="U127" s="1379"/>
      <c r="V127" s="1379"/>
      <c r="W127" s="1379"/>
      <c r="X127" s="1379"/>
      <c r="Y127" s="1386"/>
      <c r="Z127" s="1364"/>
      <c r="AA127" s="1371"/>
      <c r="AB127" s="1364"/>
      <c r="AC127" s="1364"/>
      <c r="AD127" s="1364"/>
    </row>
    <row r="128" ht="9" customHeight="1">
      <c r="A128" s="1381"/>
      <c r="B128" s="1381"/>
      <c r="C128" s="1379"/>
      <c r="D128" s="1379"/>
      <c r="E128" s="1379"/>
      <c r="F128" s="1379"/>
      <c r="G128" s="1379"/>
      <c r="H128" s="1402"/>
      <c r="I128" s="1402"/>
      <c r="J128" s="1402"/>
      <c r="K128" s="1402"/>
      <c r="L128" s="1402"/>
      <c r="M128" s="1379"/>
      <c r="N128" s="1407"/>
      <c r="O128" s="1400"/>
      <c r="P128" s="1400"/>
      <c r="Q128" s="1400"/>
      <c r="R128" s="1400"/>
      <c r="S128" s="1379"/>
      <c r="T128" s="1379"/>
      <c r="U128" s="1379"/>
      <c r="V128" s="1379"/>
      <c r="W128" s="1379"/>
      <c r="X128" s="1379"/>
      <c r="Y128" s="1386"/>
      <c r="Z128" s="1364"/>
      <c r="AA128" s="1371"/>
      <c r="AB128" s="1364"/>
      <c r="AC128" s="1364"/>
      <c r="AD128" s="1364"/>
    </row>
    <row r="129" ht="9" customHeight="1">
      <c r="A129" s="1381"/>
      <c r="B129" s="1381"/>
      <c r="C129" s="1379"/>
      <c r="D129" s="1379"/>
      <c r="E129" s="1379"/>
      <c r="F129" s="1379"/>
      <c r="G129" s="1379"/>
      <c r="H129" s="1402"/>
      <c r="I129" s="1402"/>
      <c r="J129" s="1402"/>
      <c r="K129" s="1402"/>
      <c r="L129" s="1402"/>
      <c r="M129" s="1379"/>
      <c r="N129" s="1407"/>
      <c r="O129" s="1400"/>
      <c r="P129" s="1400"/>
      <c r="Q129" s="1400"/>
      <c r="R129" s="1400"/>
      <c r="S129" s="1379"/>
      <c r="T129" s="1379"/>
      <c r="U129" s="1379"/>
      <c r="V129" s="1379"/>
      <c r="W129" s="1379"/>
      <c r="X129" s="1379"/>
      <c r="Y129" s="1386"/>
      <c r="Z129" s="1364"/>
      <c r="AA129" s="1371"/>
      <c r="AB129" s="1364"/>
      <c r="AC129" s="1364"/>
      <c r="AD129" s="1364"/>
    </row>
    <row r="130" ht="9" customHeight="1">
      <c r="A130" s="1381"/>
      <c r="B130" s="1381"/>
      <c r="C130" s="1379"/>
      <c r="D130" s="1379"/>
      <c r="E130" s="1379"/>
      <c r="F130" s="1379"/>
      <c r="G130" s="1379"/>
      <c r="H130" s="1402"/>
      <c r="I130" s="1402"/>
      <c r="J130" s="1402"/>
      <c r="K130" s="1402"/>
      <c r="L130" s="1402"/>
      <c r="M130" s="1379"/>
      <c r="N130" s="1407"/>
      <c r="O130" s="1408"/>
      <c r="P130" s="1408"/>
      <c r="Q130" s="1408"/>
      <c r="R130" s="1408"/>
      <c r="S130" s="1379"/>
      <c r="T130" s="1379"/>
      <c r="U130" s="1379"/>
      <c r="V130" s="1379"/>
      <c r="W130" s="1379"/>
      <c r="X130" s="1379"/>
      <c r="Y130" s="1386"/>
      <c r="Z130" s="1364"/>
      <c r="AA130" s="1371"/>
      <c r="AB130" s="1364"/>
      <c r="AC130" s="1364"/>
      <c r="AD130" s="1364"/>
    </row>
    <row r="131" ht="9" customHeight="1">
      <c r="A131" s="1381"/>
      <c r="B131" s="1381"/>
      <c r="C131" s="1379"/>
      <c r="D131" s="1379"/>
      <c r="E131" s="1379"/>
      <c r="F131" s="1379"/>
      <c r="G131" s="1379"/>
      <c r="H131" s="1402"/>
      <c r="I131" s="1402"/>
      <c r="J131" s="1402"/>
      <c r="K131" s="1402"/>
      <c r="L131" s="1402"/>
      <c r="M131" s="1379"/>
      <c r="N131" s="1407"/>
      <c r="O131" s="1409"/>
      <c r="P131" s="1409"/>
      <c r="Q131" s="1409"/>
      <c r="R131" s="1409"/>
      <c r="S131" s="1379"/>
      <c r="T131" s="1379"/>
      <c r="U131" s="1379"/>
      <c r="V131" s="1379"/>
      <c r="W131" s="1379"/>
      <c r="X131" s="1379"/>
      <c r="Y131" s="1386"/>
      <c r="Z131" s="1364"/>
      <c r="AA131" s="1371"/>
      <c r="AB131" s="1364"/>
      <c r="AC131" s="1364"/>
      <c r="AD131" s="1364"/>
    </row>
    <row r="132" ht="9" customHeight="1">
      <c r="A132" s="1381"/>
      <c r="B132" s="1381"/>
      <c r="C132" s="1379"/>
      <c r="D132" s="1379"/>
      <c r="E132" s="1379"/>
      <c r="F132" s="1379"/>
      <c r="G132" s="1379"/>
      <c r="H132" s="1402"/>
      <c r="I132" s="1402"/>
      <c r="J132" s="1402"/>
      <c r="K132" s="1402"/>
      <c r="L132" s="1402"/>
      <c r="M132" s="1379"/>
      <c r="N132" s="1407"/>
      <c r="O132" s="1408"/>
      <c r="P132" s="1408"/>
      <c r="Q132" s="1408"/>
      <c r="R132" s="1408"/>
      <c r="S132" s="1379"/>
      <c r="T132" s="1379"/>
      <c r="U132" s="1379"/>
      <c r="V132" s="1379"/>
      <c r="W132" s="1379"/>
      <c r="X132" s="1379"/>
      <c r="Y132" s="1386"/>
      <c r="Z132" s="1364"/>
      <c r="AA132" s="1371"/>
      <c r="AB132" s="1364"/>
      <c r="AC132" s="1364"/>
      <c r="AD132" s="1364"/>
    </row>
    <row r="133" ht="9" customHeight="1">
      <c r="A133" s="1381"/>
      <c r="B133" s="1381"/>
      <c r="C133" s="1379"/>
      <c r="D133" s="1379"/>
      <c r="E133" s="1379"/>
      <c r="F133" s="1379"/>
      <c r="G133" s="1379"/>
      <c r="H133" s="1402"/>
      <c r="I133" s="1402"/>
      <c r="J133" s="1402"/>
      <c r="K133" s="1402"/>
      <c r="L133" s="1402"/>
      <c r="M133" s="1379"/>
      <c r="N133" s="1407"/>
      <c r="O133" s="1409"/>
      <c r="P133" s="1409"/>
      <c r="Q133" s="1409"/>
      <c r="R133" s="1409"/>
      <c r="S133" s="1379"/>
      <c r="T133" s="1379"/>
      <c r="U133" s="1379"/>
      <c r="V133" s="1379"/>
      <c r="W133" s="1379"/>
      <c r="X133" s="1379"/>
      <c r="Y133" s="1386"/>
      <c r="Z133" s="1364"/>
      <c r="AA133" s="1371"/>
      <c r="AB133" s="1364"/>
      <c r="AC133" s="1364"/>
      <c r="AD133" s="1364"/>
    </row>
    <row r="134" ht="9" customHeight="1">
      <c r="A134" s="1381"/>
      <c r="B134" s="1381"/>
      <c r="C134" s="1379"/>
      <c r="D134" s="1379"/>
      <c r="E134" s="1379"/>
      <c r="F134" s="1379"/>
      <c r="G134" s="1379"/>
      <c r="H134" s="1402"/>
      <c r="I134" s="1402"/>
      <c r="J134" s="1402"/>
      <c r="K134" s="1402"/>
      <c r="L134" s="1402"/>
      <c r="M134" s="1379"/>
      <c r="N134" s="1407"/>
      <c r="O134" s="1400"/>
      <c r="P134" s="1400"/>
      <c r="Q134" s="1400"/>
      <c r="R134" s="1400"/>
      <c r="S134" s="1379"/>
      <c r="T134" s="1379"/>
      <c r="U134" s="1379"/>
      <c r="V134" s="1379"/>
      <c r="W134" s="1379"/>
      <c r="X134" s="1379"/>
      <c r="Y134" s="1386"/>
      <c r="Z134" s="1364"/>
      <c r="AA134" s="1371"/>
      <c r="AB134" s="1364"/>
      <c r="AC134" s="1364"/>
      <c r="AD134" s="1364"/>
    </row>
    <row r="135" ht="9" customHeight="1">
      <c r="A135" s="1381"/>
      <c r="B135" s="1381"/>
      <c r="C135" s="1379"/>
      <c r="D135" s="1379"/>
      <c r="E135" s="1379"/>
      <c r="F135" s="1379"/>
      <c r="G135" s="1379"/>
      <c r="H135" s="1402"/>
      <c r="I135" s="1402"/>
      <c r="J135" s="1402"/>
      <c r="K135" s="1402"/>
      <c r="L135" s="1402"/>
      <c r="M135" s="1379"/>
      <c r="N135" s="1407"/>
      <c r="O135" s="1400"/>
      <c r="P135" s="1400"/>
      <c r="Q135" s="1400"/>
      <c r="R135" s="1400"/>
      <c r="S135" s="1379"/>
      <c r="T135" s="1379"/>
      <c r="U135" s="1379"/>
      <c r="V135" s="1379"/>
      <c r="W135" s="1379"/>
      <c r="X135" s="1379"/>
      <c r="Y135" s="1386"/>
      <c r="Z135" s="1364"/>
      <c r="AA135" s="1371"/>
      <c r="AB135" s="1364"/>
      <c r="AC135" s="1364"/>
      <c r="AD135" s="1364"/>
    </row>
    <row r="136" ht="9" customHeight="1">
      <c r="A136" s="1381"/>
      <c r="B136" s="1381"/>
      <c r="C136" s="1379"/>
      <c r="D136" s="1379"/>
      <c r="E136" s="1379"/>
      <c r="F136" s="1379"/>
      <c r="G136" s="1379"/>
      <c r="H136" s="1402"/>
      <c r="I136" s="1402"/>
      <c r="J136" s="1402"/>
      <c r="K136" s="1402"/>
      <c r="L136" s="1402"/>
      <c r="M136" s="1379"/>
      <c r="N136" s="1407"/>
      <c r="O136" s="1400"/>
      <c r="P136" s="1400"/>
      <c r="Q136" s="1400"/>
      <c r="R136" s="1400"/>
      <c r="S136" s="1379"/>
      <c r="T136" s="1379"/>
      <c r="U136" s="1379"/>
      <c r="V136" s="1379"/>
      <c r="W136" s="1379"/>
      <c r="X136" s="1379"/>
      <c r="Y136" s="1386"/>
      <c r="Z136" s="1364"/>
      <c r="AA136" s="1371"/>
      <c r="AB136" s="1364"/>
      <c r="AC136" s="1364"/>
      <c r="AD136" s="1364"/>
    </row>
    <row r="137" ht="9" customHeight="1">
      <c r="A137" s="1381"/>
      <c r="B137" s="1381"/>
      <c r="C137" s="1379"/>
      <c r="D137" s="1379"/>
      <c r="E137" s="1379"/>
      <c r="F137" s="1379"/>
      <c r="G137" s="1379"/>
      <c r="H137" s="1402"/>
      <c r="I137" s="1402"/>
      <c r="J137" s="1402"/>
      <c r="K137" s="1402"/>
      <c r="L137" s="1402"/>
      <c r="M137" s="1379"/>
      <c r="N137" s="1407"/>
      <c r="O137" s="1410"/>
      <c r="P137" s="1410"/>
      <c r="Q137" s="1410"/>
      <c r="R137" s="1410"/>
      <c r="S137" s="1379"/>
      <c r="T137" s="1379"/>
      <c r="U137" s="1379"/>
      <c r="V137" s="1379"/>
      <c r="W137" s="1379"/>
      <c r="X137" s="1379"/>
      <c r="Y137" s="1386"/>
      <c r="Z137" s="1364"/>
      <c r="AA137" s="1371"/>
      <c r="AB137" s="1364"/>
      <c r="AC137" s="1364"/>
      <c r="AD137" s="1364"/>
    </row>
    <row r="138" ht="9" customHeight="1">
      <c r="A138" s="1381"/>
      <c r="B138" s="1381"/>
      <c r="C138" s="1379"/>
      <c r="D138" s="1379"/>
      <c r="E138" s="1379"/>
      <c r="F138" s="1379"/>
      <c r="G138" s="1379"/>
      <c r="H138" s="1402"/>
      <c r="I138" s="1402"/>
      <c r="J138" s="1402"/>
      <c r="K138" s="1402"/>
      <c r="L138" s="1402"/>
      <c r="M138" s="1379"/>
      <c r="N138" s="1407"/>
      <c r="O138" s="1403"/>
      <c r="P138" s="1403"/>
      <c r="Q138" s="1403"/>
      <c r="R138" s="1403"/>
      <c r="S138" s="1379"/>
      <c r="T138" s="1379"/>
      <c r="U138" s="1379"/>
      <c r="V138" s="1379"/>
      <c r="W138" s="1379"/>
      <c r="X138" s="1379"/>
      <c r="Y138" s="1386"/>
      <c r="Z138" s="1364"/>
      <c r="AA138" s="1371"/>
      <c r="AB138" s="1364"/>
      <c r="AC138" s="1364"/>
      <c r="AD138" s="1364"/>
    </row>
    <row r="139" ht="9" customHeight="1">
      <c r="A139" s="1381"/>
      <c r="B139" s="1381"/>
      <c r="C139" s="1379"/>
      <c r="D139" s="1379"/>
      <c r="E139" s="1379"/>
      <c r="F139" s="1379"/>
      <c r="G139" s="1379"/>
      <c r="H139" s="1402"/>
      <c r="I139" s="1402"/>
      <c r="J139" s="1402"/>
      <c r="K139" s="1402"/>
      <c r="L139" s="1402"/>
      <c r="M139" s="1379"/>
      <c r="N139" s="1407"/>
      <c r="O139" s="1379"/>
      <c r="P139" s="1379"/>
      <c r="Q139" s="1379"/>
      <c r="R139" s="1379"/>
      <c r="S139" s="1379"/>
      <c r="T139" s="1379"/>
      <c r="U139" s="1379"/>
      <c r="V139" s="1379"/>
      <c r="W139" s="1379"/>
      <c r="X139" s="1379"/>
      <c r="Y139" s="1386"/>
      <c r="Z139" s="1364"/>
      <c r="AA139" s="1371"/>
      <c r="AB139" s="1364"/>
      <c r="AC139" s="1364"/>
      <c r="AD139" s="1364"/>
    </row>
    <row r="140" ht="9" customHeight="1">
      <c r="A140" s="1381"/>
      <c r="B140" s="1381"/>
      <c r="C140" s="1379"/>
      <c r="D140" s="1379"/>
      <c r="E140" s="1379"/>
      <c r="F140" s="1379"/>
      <c r="G140" s="1379"/>
      <c r="H140" s="1402"/>
      <c r="I140" s="1402"/>
      <c r="J140" s="1402"/>
      <c r="K140" s="1402"/>
      <c r="L140" s="1402"/>
      <c r="M140" s="1379"/>
      <c r="N140" s="1407"/>
      <c r="O140" s="1379"/>
      <c r="P140" s="1379"/>
      <c r="Q140" s="1379"/>
      <c r="R140" s="1379"/>
      <c r="S140" s="1379"/>
      <c r="T140" s="1379"/>
      <c r="U140" s="1379"/>
      <c r="V140" s="1379"/>
      <c r="W140" s="1379"/>
      <c r="X140" s="1379"/>
      <c r="Y140" s="1386"/>
      <c r="Z140" s="1364"/>
      <c r="AA140" s="1371"/>
      <c r="AB140" s="1364"/>
      <c r="AC140" s="1364"/>
      <c r="AD140" s="1364"/>
    </row>
    <row r="141" ht="9" customHeight="1">
      <c r="A141" s="1381"/>
      <c r="B141" s="1381"/>
      <c r="C141" s="1379"/>
      <c r="D141" s="1379"/>
      <c r="E141" s="1379"/>
      <c r="F141" s="1379"/>
      <c r="G141" s="1379"/>
      <c r="H141" s="1402"/>
      <c r="I141" s="1402"/>
      <c r="J141" s="1402"/>
      <c r="K141" s="1402"/>
      <c r="L141" s="1402"/>
      <c r="M141" s="1379"/>
      <c r="N141" s="1407"/>
      <c r="O141" s="1379"/>
      <c r="P141" s="1379"/>
      <c r="Q141" s="1379"/>
      <c r="R141" s="1379"/>
      <c r="S141" s="1379"/>
      <c r="T141" s="1379"/>
      <c r="U141" s="1379"/>
      <c r="V141" s="1379"/>
      <c r="W141" s="1379"/>
      <c r="X141" s="1379"/>
      <c r="Y141" s="1386"/>
      <c r="Z141" s="1364"/>
      <c r="AA141" s="1371"/>
      <c r="AB141" s="1364"/>
      <c r="AC141" s="1364"/>
      <c r="AD141" s="1364"/>
    </row>
    <row r="142" ht="9" customHeight="1">
      <c r="A142" s="1381"/>
      <c r="B142" s="1381"/>
      <c r="C142" s="1379"/>
      <c r="D142" s="1379"/>
      <c r="E142" s="1379"/>
      <c r="F142" s="1379"/>
      <c r="G142" s="1379"/>
      <c r="H142" s="1402"/>
      <c r="I142" s="1402"/>
      <c r="J142" s="1402"/>
      <c r="K142" s="1402"/>
      <c r="L142" s="1402"/>
      <c r="M142" s="1379"/>
      <c r="N142" s="1407"/>
      <c r="O142" s="1379"/>
      <c r="P142" s="1379"/>
      <c r="Q142" s="1379"/>
      <c r="R142" s="1379"/>
      <c r="S142" s="1379"/>
      <c r="T142" s="1379"/>
      <c r="U142" s="1379"/>
      <c r="V142" s="1379"/>
      <c r="W142" s="1379"/>
      <c r="X142" s="1379"/>
      <c r="Y142" s="1386"/>
      <c r="Z142" s="1364"/>
      <c r="AA142" s="1371"/>
      <c r="AB142" s="1364"/>
      <c r="AC142" s="1364"/>
      <c r="AD142" s="1364"/>
    </row>
    <row r="143" ht="9" customHeight="1">
      <c r="A143" s="1381"/>
      <c r="B143" s="1381"/>
      <c r="C143" s="1379"/>
      <c r="D143" s="1379"/>
      <c r="E143" s="1379"/>
      <c r="F143" s="1379"/>
      <c r="G143" s="1379"/>
      <c r="H143" s="1402"/>
      <c r="I143" s="1402"/>
      <c r="J143" s="1402"/>
      <c r="K143" s="1402"/>
      <c r="L143" s="1402"/>
      <c r="M143" s="1379"/>
      <c r="N143" s="1407"/>
      <c r="O143" s="1379"/>
      <c r="P143" s="1379"/>
      <c r="Q143" s="1379"/>
      <c r="R143" s="1379"/>
      <c r="S143" s="1379"/>
      <c r="T143" s="1379"/>
      <c r="U143" s="1379"/>
      <c r="V143" s="1379"/>
      <c r="W143" s="1379"/>
      <c r="X143" s="1379"/>
      <c r="Y143" s="1386"/>
      <c r="Z143" s="1364"/>
      <c r="AA143" s="1371"/>
      <c r="AB143" s="1364"/>
      <c r="AC143" s="1364"/>
      <c r="AD143" s="1364"/>
    </row>
    <row r="144" ht="9" customHeight="1">
      <c r="A144" s="1381"/>
      <c r="B144" s="1381"/>
      <c r="C144" s="1379"/>
      <c r="D144" s="1379"/>
      <c r="E144" s="1379"/>
      <c r="F144" s="1379"/>
      <c r="G144" s="1379"/>
      <c r="H144" s="1402"/>
      <c r="I144" s="1402"/>
      <c r="J144" s="1402"/>
      <c r="K144" s="1402"/>
      <c r="L144" s="1402"/>
      <c r="M144" s="1379"/>
      <c r="N144" s="1407"/>
      <c r="O144" s="1379"/>
      <c r="P144" s="1379"/>
      <c r="Q144" s="1379"/>
      <c r="R144" s="1379"/>
      <c r="S144" s="1379"/>
      <c r="T144" s="1379"/>
      <c r="U144" s="1379"/>
      <c r="V144" s="1379"/>
      <c r="W144" s="1379"/>
      <c r="X144" s="1379"/>
      <c r="Y144" s="1386"/>
      <c r="Z144" s="1364"/>
      <c r="AA144" s="1371"/>
      <c r="AB144" s="1364"/>
      <c r="AC144" s="1364"/>
      <c r="AD144" s="1364"/>
    </row>
    <row r="145" ht="9" customHeight="1">
      <c r="A145" s="1381"/>
      <c r="B145" s="1381"/>
      <c r="C145" s="1379"/>
      <c r="D145" s="1379"/>
      <c r="E145" s="1379"/>
      <c r="F145" s="1379"/>
      <c r="G145" s="1379"/>
      <c r="H145" s="1402"/>
      <c r="I145" s="1402"/>
      <c r="J145" s="1402"/>
      <c r="K145" s="1402"/>
      <c r="L145" s="1402"/>
      <c r="M145" s="1379"/>
      <c r="N145" s="1407"/>
      <c r="O145" s="1379"/>
      <c r="P145" s="1379"/>
      <c r="Q145" s="1379"/>
      <c r="R145" s="1379"/>
      <c r="S145" s="1379"/>
      <c r="T145" s="1379"/>
      <c r="U145" s="1379"/>
      <c r="V145" s="1379"/>
      <c r="W145" s="1379"/>
      <c r="X145" s="1379"/>
      <c r="Y145" s="1386"/>
      <c r="Z145" s="1364"/>
      <c r="AA145" s="1371"/>
      <c r="AB145" s="1364"/>
      <c r="AC145" s="1364"/>
      <c r="AD145" s="1364"/>
    </row>
    <row r="146" ht="9" customHeight="1">
      <c r="A146" s="1381"/>
      <c r="B146" s="1381"/>
      <c r="C146" s="1379"/>
      <c r="D146" s="1379"/>
      <c r="E146" s="1379"/>
      <c r="F146" s="1379"/>
      <c r="G146" s="1379"/>
      <c r="H146" s="1402"/>
      <c r="I146" s="1402"/>
      <c r="J146" s="1402"/>
      <c r="K146" s="1402"/>
      <c r="L146" s="1402"/>
      <c r="M146" s="1379"/>
      <c r="N146" s="1407"/>
      <c r="O146" s="1379"/>
      <c r="P146" s="1379"/>
      <c r="Q146" s="1379"/>
      <c r="R146" s="1379"/>
      <c r="S146" s="1379"/>
      <c r="T146" s="1379"/>
      <c r="U146" s="1379"/>
      <c r="V146" s="1379"/>
      <c r="W146" s="1379"/>
      <c r="X146" s="1379"/>
      <c r="Y146" s="1386"/>
      <c r="Z146" s="1364"/>
      <c r="AA146" s="1371"/>
      <c r="AB146" s="1364"/>
      <c r="AC146" s="1364"/>
      <c r="AD146" s="1364"/>
    </row>
    <row r="147" ht="9" customHeight="1">
      <c r="A147" s="1381"/>
      <c r="B147" s="1381"/>
      <c r="C147" s="1381"/>
      <c r="D147" s="1381"/>
      <c r="E147" s="1381"/>
      <c r="F147" s="1381"/>
      <c r="G147" s="1381"/>
      <c r="H147" s="1381"/>
      <c r="I147" s="1381"/>
      <c r="J147" s="1381"/>
      <c r="K147" s="1381"/>
      <c r="L147" s="1381"/>
      <c r="M147" s="1381"/>
      <c r="N147" s="1381"/>
      <c r="O147" s="1381"/>
      <c r="P147" s="1381"/>
      <c r="Q147" s="1381"/>
      <c r="R147" s="1381"/>
      <c r="S147" s="1381"/>
      <c r="T147" s="1381"/>
      <c r="U147" s="1381"/>
      <c r="V147" s="1381"/>
      <c r="W147" s="1381"/>
      <c r="X147" s="1381"/>
      <c r="Y147" s="1381"/>
      <c r="Z147" s="1381"/>
      <c r="AA147" s="1381"/>
      <c r="AB147" s="1381"/>
      <c r="AC147" s="1381"/>
      <c r="AD147" s="1381"/>
    </row>
    <row r="148" ht="90" customHeight="1">
      <c r="A148" s="1381" t="s">
        <v>1670</v>
      </c>
      <c r="B148" s="1381"/>
      <c r="C148" s="1379" t="s">
        <v>2233</v>
      </c>
      <c r="D148" s="1379" t="s">
        <v>1572</v>
      </c>
      <c r="E148" s="1379" t="s">
        <v>1672</v>
      </c>
      <c r="F148" s="1379" t="s">
        <v>2234</v>
      </c>
      <c r="G148" s="1379"/>
      <c r="H148" s="1379"/>
      <c r="I148" s="1411"/>
      <c r="J148" s="1411"/>
      <c r="K148" s="1411"/>
      <c r="L148" s="1411"/>
      <c r="M148" s="1412"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392"/>
      <c r="O148" s="1379"/>
      <c r="P148" s="1385"/>
      <c r="Q148" s="1385"/>
      <c r="R148" s="1385"/>
      <c r="S148" s="1379"/>
      <c r="T148" s="1379" t="s">
        <v>2235</v>
      </c>
      <c r="U148" s="138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385"/>
      <c r="W148" s="1385"/>
      <c r="X148" s="1379" t="s">
        <v>2236</v>
      </c>
      <c r="Y148" s="1386"/>
      <c r="Z148" s="1364"/>
      <c r="AA148" s="1371"/>
      <c r="AB148" s="1364"/>
      <c r="AC148" s="1364"/>
      <c r="AD148" s="1364"/>
    </row>
    <row r="149" ht="9" customHeight="1">
      <c r="A149" s="1381"/>
      <c r="B149" s="1381"/>
      <c r="C149" s="1381"/>
      <c r="D149" s="1381"/>
      <c r="E149" s="1381"/>
      <c r="F149" s="1381"/>
      <c r="G149" s="1381"/>
      <c r="H149" s="1381"/>
      <c r="I149" s="1381"/>
      <c r="J149" s="1381"/>
      <c r="K149" s="1381"/>
      <c r="L149" s="1381"/>
      <c r="M149" s="1381"/>
      <c r="N149" s="1381"/>
      <c r="O149" s="1381"/>
      <c r="P149" s="1381"/>
      <c r="Q149" s="1381"/>
      <c r="R149" s="1381"/>
      <c r="S149" s="1381"/>
      <c r="T149" s="1381"/>
      <c r="U149" s="1381"/>
      <c r="V149" s="1381"/>
      <c r="W149" s="1381"/>
      <c r="X149" s="1381"/>
      <c r="Y149" s="1381"/>
      <c r="Z149" s="1381"/>
      <c r="AA149" s="1381"/>
      <c r="AB149" s="1381"/>
      <c r="AC149" s="1381"/>
      <c r="AD149" s="1381"/>
    </row>
    <row r="150" ht="9" customHeight="1">
      <c r="A150" s="1381" t="s">
        <v>1674</v>
      </c>
      <c r="B150" s="1381"/>
      <c r="C150" s="1379"/>
      <c r="D150" s="1379"/>
      <c r="E150" s="1379"/>
      <c r="F150" s="1379"/>
      <c r="G150" s="1379"/>
      <c r="H150" s="1379"/>
      <c r="I150" s="1379"/>
      <c r="J150" s="1379"/>
      <c r="K150" s="1379"/>
      <c r="L150" s="1379"/>
      <c r="M150" s="1379"/>
      <c r="N150" s="1379"/>
      <c r="O150" s="1379"/>
      <c r="P150" s="1379"/>
      <c r="Q150" s="1379"/>
      <c r="R150" s="1379"/>
      <c r="S150" s="1379"/>
      <c r="T150" s="1379"/>
      <c r="U150" s="1379"/>
      <c r="V150" s="1379"/>
      <c r="W150" s="1379"/>
      <c r="X150" s="1379"/>
      <c r="Y150" s="1386"/>
      <c r="Z150" s="1364"/>
      <c r="AA150" s="1371"/>
      <c r="AB150" s="1364"/>
      <c r="AC150" s="1364"/>
      <c r="AD150" s="1364"/>
    </row>
    <row r="151" ht="9" customHeight="1">
      <c r="A151" s="1381"/>
      <c r="B151" s="1381"/>
      <c r="C151" s="1381"/>
      <c r="D151" s="1381"/>
      <c r="E151" s="1381"/>
      <c r="F151" s="1381"/>
      <c r="G151" s="1381"/>
      <c r="H151" s="1381"/>
      <c r="I151" s="1381"/>
      <c r="J151" s="1381"/>
      <c r="K151" s="1381"/>
      <c r="L151" s="1381"/>
      <c r="M151" s="1381"/>
      <c r="N151" s="1381"/>
      <c r="O151" s="1381"/>
      <c r="P151" s="1381"/>
      <c r="Q151" s="1381"/>
      <c r="R151" s="1381"/>
      <c r="S151" s="1381"/>
      <c r="T151" s="1381"/>
      <c r="U151" s="1381"/>
      <c r="V151" s="1381"/>
      <c r="W151" s="1381"/>
      <c r="X151" s="1381"/>
      <c r="Y151" s="1381"/>
      <c r="Z151" s="1381"/>
      <c r="AA151" s="1381"/>
      <c r="AB151" s="1381"/>
      <c r="AC151" s="1381"/>
      <c r="AD151" s="1381"/>
    </row>
    <row r="152" ht="9" customHeight="1">
      <c r="A152" s="1381" t="s">
        <v>1677</v>
      </c>
      <c r="B152" s="1381"/>
      <c r="C152" s="1379"/>
      <c r="D152" s="1379"/>
      <c r="E152" s="1379"/>
      <c r="F152" s="1379"/>
      <c r="G152" s="1379"/>
      <c r="H152" s="1379"/>
      <c r="I152" s="1379"/>
      <c r="J152" s="1379"/>
      <c r="K152" s="1379"/>
      <c r="L152" s="1379"/>
      <c r="M152" s="1379"/>
      <c r="N152" s="1379"/>
      <c r="O152" s="1379"/>
      <c r="P152" s="1379"/>
      <c r="Q152" s="1379"/>
      <c r="R152" s="1379"/>
      <c r="S152" s="1379"/>
      <c r="T152" s="1379"/>
      <c r="U152" s="1379"/>
      <c r="V152" s="1379"/>
      <c r="W152" s="1379"/>
      <c r="X152" s="1379"/>
      <c r="Y152" s="1386"/>
      <c r="Z152" s="1364"/>
      <c r="AA152" s="1371"/>
      <c r="AB152" s="1364"/>
      <c r="AC152" s="1364"/>
      <c r="AD152" s="1364"/>
    </row>
    <row r="153" ht="9" customHeight="1">
      <c r="A153" s="1381"/>
      <c r="B153" s="1381"/>
      <c r="C153" s="1381"/>
      <c r="D153" s="1381"/>
      <c r="E153" s="1381"/>
      <c r="F153" s="1381"/>
      <c r="G153" s="1381"/>
      <c r="H153" s="1381"/>
      <c r="I153" s="1381"/>
      <c r="J153" s="1381"/>
      <c r="K153" s="1381"/>
      <c r="L153" s="1381"/>
      <c r="M153" s="1381"/>
      <c r="N153" s="1381"/>
      <c r="O153" s="1381"/>
      <c r="P153" s="1381"/>
      <c r="Q153" s="1381"/>
      <c r="R153" s="1381"/>
      <c r="S153" s="1381"/>
      <c r="T153" s="1381"/>
      <c r="U153" s="1381"/>
      <c r="V153" s="1381"/>
      <c r="W153" s="1381"/>
      <c r="X153" s="1381"/>
      <c r="Y153" s="1381"/>
      <c r="Z153" s="1381"/>
      <c r="AA153" s="1381"/>
      <c r="AB153" s="1381"/>
      <c r="AC153" s="1381"/>
      <c r="AD153" s="1381"/>
    </row>
    <row r="154" ht="9" customHeight="1">
      <c r="A154" s="1381" t="s">
        <v>1681</v>
      </c>
      <c r="B154" s="1381"/>
      <c r="C154" s="1379"/>
      <c r="D154" s="1379"/>
      <c r="E154" s="1379"/>
      <c r="F154" s="1379"/>
      <c r="G154" s="1379"/>
      <c r="H154" s="1379"/>
      <c r="I154" s="1379"/>
      <c r="J154" s="1379"/>
      <c r="K154" s="1379"/>
      <c r="L154" s="1379"/>
      <c r="M154" s="1379"/>
      <c r="N154" s="1379"/>
      <c r="O154" s="1379"/>
      <c r="P154" s="1379"/>
      <c r="Q154" s="1379"/>
      <c r="R154" s="1379"/>
      <c r="S154" s="1379"/>
      <c r="T154" s="1379"/>
      <c r="U154" s="1379"/>
      <c r="V154" s="1379"/>
      <c r="W154" s="1379"/>
      <c r="X154" s="1379"/>
      <c r="Y154" s="1386"/>
      <c r="Z154" s="1364"/>
      <c r="AA154" s="1371"/>
      <c r="AB154" s="1364"/>
      <c r="AC154" s="1364"/>
      <c r="AD154" s="1364"/>
    </row>
  </sheetData>
  <sheetProtection autoFilter="0" deleteColumns="0" deleteRows="0" formatCells="1" formatColumns="1" formatRows="1" insertColumns="1" insertHyperlinks="1" insertRows="0" pivotTables="1" selectLockedCells="0" selectUnlockedCells="0" sheet="0" sort="0"/>
  <mergeCells count="12">
    <mergeCell ref="T1:X1"/>
    <mergeCell ref="Z1:AD1"/>
    <mergeCell ref="A11:A15"/>
    <mergeCell ref="H13:H14"/>
    <mergeCell ref="H15:H16"/>
    <mergeCell ref="C3:F3"/>
    <mergeCell ref="C11:C16"/>
    <mergeCell ref="D11:D16"/>
    <mergeCell ref="E11:E16"/>
    <mergeCell ref="F11:F16"/>
    <mergeCell ref="G11:G16"/>
    <mergeCell ref="O1:S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92"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53"/>
      <c r="K4" s="553"/>
      <c r="L4" s="554"/>
      <c r="M4" s="91"/>
      <c r="N4" s="91"/>
      <c r="O4" s="50"/>
      <c r="P4" s="50"/>
      <c r="Q4" s="50"/>
      <c r="R4" s="50"/>
      <c r="S4" s="50"/>
      <c r="T4" s="50"/>
      <c r="U4" s="50"/>
      <c r="V4" s="50"/>
      <c r="AD4" s="50">
        <v>14</v>
      </c>
    </row>
    <row r="5" ht="67.200000000000003" customHeight="1">
      <c r="J5" s="553"/>
      <c r="K5" s="553"/>
      <c r="L5" s="1413" t="s">
        <v>2237</v>
      </c>
      <c r="M5" s="1413"/>
      <c r="N5" s="1413"/>
      <c r="O5" s="1413"/>
      <c r="P5" s="1413"/>
      <c r="Q5" s="1413"/>
      <c r="R5" s="1413"/>
      <c r="S5" s="1413"/>
      <c r="T5" s="1413"/>
      <c r="U5" s="1413"/>
      <c r="V5" s="240"/>
      <c r="AD5" s="50">
        <v>64</v>
      </c>
    </row>
    <row r="6" ht="14.65" customHeight="1">
      <c r="J6" s="553"/>
      <c r="K6" s="553"/>
      <c r="L6" s="1414" t="str">
        <f>IF(org=0,"Не определено",org)</f>
        <v xml:space="preserve">филиал Пермская ГРЭС АО "Интер РАО - Электрогенерация"</v>
      </c>
      <c r="M6" s="1414"/>
      <c r="N6" s="1414"/>
      <c r="O6" s="1414"/>
      <c r="P6" s="1414"/>
      <c r="Q6" s="1414"/>
      <c r="R6" s="1414"/>
      <c r="S6" s="1414"/>
      <c r="T6" s="1414"/>
      <c r="U6" s="1414"/>
      <c r="V6" s="240"/>
      <c r="AD6" s="50">
        <v>14</v>
      </c>
    </row>
    <row r="7" ht="14.65" customHeight="1">
      <c r="J7" s="553"/>
      <c r="K7" s="553"/>
      <c r="L7" s="554"/>
      <c r="M7" s="91"/>
      <c r="N7" s="91"/>
      <c r="O7" s="555"/>
      <c r="P7" s="555"/>
      <c r="Q7" s="555"/>
      <c r="R7" s="555"/>
      <c r="S7" s="555"/>
      <c r="T7" s="555"/>
      <c r="U7" s="555"/>
      <c r="V7" s="555"/>
      <c r="W7" s="50"/>
      <c r="AD7" s="50">
        <v>14</v>
      </c>
    </row>
    <row r="8" s="184" customFormat="1" ht="48.25" customHeight="1">
      <c r="A8" s="151"/>
      <c r="B8" s="151"/>
      <c r="C8" s="151"/>
      <c r="D8" s="151"/>
      <c r="E8" s="151"/>
      <c r="F8" s="151"/>
      <c r="G8" s="151"/>
      <c r="H8" s="151"/>
      <c r="L8" s="1075"/>
      <c r="M8" s="556" t="s">
        <v>42</v>
      </c>
      <c r="N8" s="1059"/>
      <c r="O8" s="558" t="str">
        <f>IF(TITLE_NAME_OR_PR_CHANGE="",IF(TITLE_NAME_OR_PR="","",TITLE_NAME_OR_PR),TITLE_NAME_OR_PR_CHANGE)</f>
        <v/>
      </c>
      <c r="P8" s="558"/>
      <c r="Q8" s="558"/>
      <c r="R8" s="558"/>
      <c r="S8" s="558"/>
      <c r="T8" s="558"/>
      <c r="U8" s="558"/>
      <c r="V8" s="50"/>
      <c r="W8" s="50"/>
      <c r="X8" s="559"/>
      <c r="Y8" s="129"/>
      <c r="Z8" s="129"/>
      <c r="AA8" s="129"/>
      <c r="AB8" s="129"/>
      <c r="AC8" s="129"/>
      <c r="AD8" s="184">
        <v>46</v>
      </c>
    </row>
    <row r="9" s="184" customFormat="1" ht="24" customHeight="1">
      <c r="A9" s="151"/>
      <c r="B9" s="151"/>
      <c r="C9" s="151"/>
      <c r="D9" s="151"/>
      <c r="E9" s="151"/>
      <c r="F9" s="151"/>
      <c r="G9" s="151"/>
      <c r="H9" s="151"/>
      <c r="L9" s="1075"/>
      <c r="M9" s="556" t="s">
        <v>423</v>
      </c>
      <c r="N9" s="1059"/>
      <c r="O9" s="558" t="str">
        <f>IF(TITLE_DATE_CHANGE_PERIOD="",IF(TITLE_DATE_PR="","",TITLE_DATE_PR),TITLE_DATE_CHANGE_PERIOD)</f>
        <v>45658</v>
      </c>
      <c r="P9" s="558"/>
      <c r="Q9" s="558"/>
      <c r="R9" s="558"/>
      <c r="S9" s="558"/>
      <c r="T9" s="558"/>
      <c r="U9" s="558"/>
      <c r="V9" s="50"/>
      <c r="W9" s="50"/>
      <c r="X9" s="559"/>
      <c r="Y9" s="129"/>
      <c r="Z9" s="129"/>
      <c r="AA9" s="129"/>
      <c r="AB9" s="129"/>
      <c r="AC9" s="129"/>
      <c r="AD9" s="184">
        <v>23</v>
      </c>
    </row>
    <row r="10" s="184" customFormat="1" ht="24" customHeight="1">
      <c r="A10" s="151"/>
      <c r="B10" s="151"/>
      <c r="C10" s="151"/>
      <c r="D10" s="151"/>
      <c r="E10" s="151"/>
      <c r="F10" s="151"/>
      <c r="G10" s="151"/>
      <c r="H10" s="151"/>
      <c r="L10" s="86"/>
      <c r="M10" s="556" t="s">
        <v>424</v>
      </c>
      <c r="N10" s="1059"/>
      <c r="O10" s="558" t="str">
        <f>IF(TITLE_NUMBER_PR_CHANGE="",IF(TITLE_NUMBER_PR="","",TITLE_NUMBER_PR),TITLE_NUMBER_PR_CHANGE)</f>
        <v>ПГ/01/950</v>
      </c>
      <c r="P10" s="558"/>
      <c r="Q10" s="558"/>
      <c r="R10" s="558"/>
      <c r="S10" s="558"/>
      <c r="T10" s="558"/>
      <c r="U10" s="558"/>
      <c r="V10" s="50"/>
      <c r="W10" s="50"/>
      <c r="X10" s="559"/>
      <c r="Y10" s="129"/>
      <c r="Z10" s="129"/>
      <c r="AA10" s="129"/>
      <c r="AB10" s="129"/>
      <c r="AC10" s="129"/>
      <c r="AD10" s="184">
        <v>23</v>
      </c>
    </row>
    <row r="11" s="184" customFormat="1" ht="24" customHeight="1">
      <c r="A11" s="151"/>
      <c r="B11" s="151"/>
      <c r="C11" s="151"/>
      <c r="D11" s="151"/>
      <c r="E11" s="151"/>
      <c r="F11" s="151"/>
      <c r="G11" s="151"/>
      <c r="H11" s="151"/>
      <c r="L11" s="86"/>
      <c r="M11" s="556" t="s">
        <v>43</v>
      </c>
      <c r="N11" s="1059"/>
      <c r="O11" s="558" t="str">
        <f>IF(TITLE_IST_PUB_CHANGE="",IF(TITLE_IST_PUB="","",TITLE_IST_PUB),TITLE_IST_PUB_CHANGE)</f>
        <v/>
      </c>
      <c r="P11" s="558"/>
      <c r="Q11" s="558"/>
      <c r="R11" s="558"/>
      <c r="S11" s="558"/>
      <c r="T11" s="558"/>
      <c r="U11" s="558"/>
      <c r="V11" s="50"/>
      <c r="W11" s="50"/>
      <c r="X11" s="559"/>
      <c r="Y11" s="129"/>
      <c r="Z11" s="129"/>
      <c r="AA11" s="129"/>
      <c r="AB11" s="129"/>
      <c r="AC11" s="129"/>
      <c r="AD11" s="184">
        <v>23</v>
      </c>
    </row>
    <row r="12" s="184" customFormat="1" ht="11.25" hidden="1" customHeight="1">
      <c r="A12" s="151"/>
      <c r="B12" s="151"/>
      <c r="C12" s="151"/>
      <c r="D12" s="151"/>
      <c r="E12" s="151"/>
      <c r="F12" s="151"/>
      <c r="G12" s="151"/>
      <c r="H12" s="151"/>
      <c r="L12" s="140"/>
      <c r="M12" s="140"/>
      <c r="N12" s="140"/>
      <c r="O12" s="50"/>
      <c r="P12" s="50"/>
      <c r="Q12" s="50"/>
      <c r="R12" s="50"/>
      <c r="S12" s="50"/>
      <c r="T12" s="50"/>
      <c r="U12" s="50"/>
      <c r="V12" s="57" t="s">
        <v>427</v>
      </c>
      <c r="Y12" s="129"/>
      <c r="Z12" s="129"/>
      <c r="AA12" s="129"/>
      <c r="AB12" s="129"/>
      <c r="AC12" s="129"/>
      <c r="AD12" s="184">
        <v>0</v>
      </c>
    </row>
    <row r="13" ht="14.65" customHeight="1">
      <c r="J13" s="553"/>
      <c r="K13" s="553"/>
      <c r="L13" s="554"/>
      <c r="M13" s="91"/>
      <c r="N13" s="561"/>
      <c r="O13" s="562"/>
      <c r="P13" s="562"/>
      <c r="Q13" s="562"/>
      <c r="R13" s="562"/>
      <c r="S13" s="562"/>
      <c r="T13" s="562"/>
      <c r="U13" s="562"/>
      <c r="V13" s="562"/>
      <c r="AD13" s="50">
        <v>14</v>
      </c>
    </row>
    <row r="14" ht="14.65" customHeight="1">
      <c r="J14" s="553"/>
      <c r="K14" s="553"/>
      <c r="L14" s="157" t="s">
        <v>302</v>
      </c>
      <c r="M14" s="157"/>
      <c r="N14" s="157"/>
      <c r="O14" s="157"/>
      <c r="P14" s="157"/>
      <c r="Q14" s="157"/>
      <c r="R14" s="157"/>
      <c r="S14" s="157"/>
      <c r="T14" s="157"/>
      <c r="U14" s="157"/>
      <c r="V14" s="157"/>
      <c r="W14" s="157"/>
      <c r="X14" s="157" t="s">
        <v>303</v>
      </c>
      <c r="AD14" s="50">
        <v>14</v>
      </c>
    </row>
    <row r="15" ht="14.65" customHeight="1">
      <c r="J15" s="553"/>
      <c r="K15" s="553"/>
      <c r="L15" s="498" t="s">
        <v>88</v>
      </c>
      <c r="M15" s="362" t="s">
        <v>428</v>
      </c>
      <c r="N15" s="563"/>
      <c r="O15" s="564" t="s">
        <v>2238</v>
      </c>
      <c r="P15" s="565"/>
      <c r="Q15" s="565"/>
      <c r="R15" s="565"/>
      <c r="S15" s="565"/>
      <c r="T15" s="565"/>
      <c r="U15" s="566"/>
      <c r="V15" s="567" t="s">
        <v>430</v>
      </c>
      <c r="W15" s="568" t="s">
        <v>1146</v>
      </c>
      <c r="X15" s="157"/>
      <c r="AD15" s="50">
        <v>14</v>
      </c>
    </row>
    <row r="16" ht="35.649999999999999" customHeight="1">
      <c r="J16" s="553"/>
      <c r="K16" s="553"/>
      <c r="L16" s="498"/>
      <c r="M16" s="362"/>
      <c r="N16" s="569"/>
      <c r="O16" s="324" t="s">
        <v>433</v>
      </c>
      <c r="P16" s="324" t="s">
        <v>434</v>
      </c>
      <c r="Q16" s="73" t="s">
        <v>435</v>
      </c>
      <c r="R16" s="72"/>
      <c r="S16" s="73" t="s">
        <v>448</v>
      </c>
      <c r="T16" s="145"/>
      <c r="U16" s="72"/>
      <c r="V16" s="571"/>
      <c r="W16" s="572"/>
      <c r="X16" s="157"/>
      <c r="AD16" s="50">
        <v>34</v>
      </c>
    </row>
    <row r="17" ht="35.649999999999999" customHeight="1">
      <c r="A17" s="151" t="s">
        <v>134</v>
      </c>
      <c r="B17" s="151" t="s">
        <v>135</v>
      </c>
      <c r="C17" s="151" t="s">
        <v>136</v>
      </c>
      <c r="D17" s="151" t="s">
        <v>137</v>
      </c>
      <c r="E17" s="151"/>
      <c r="J17" s="553"/>
      <c r="K17" s="553"/>
      <c r="L17" s="498"/>
      <c r="M17" s="362"/>
      <c r="N17" s="573"/>
      <c r="O17" s="162"/>
      <c r="P17" s="162"/>
      <c r="Q17" s="246" t="s">
        <v>444</v>
      </c>
      <c r="R17" s="246" t="s">
        <v>445</v>
      </c>
      <c r="S17" s="246" t="s">
        <v>446</v>
      </c>
      <c r="T17" s="429" t="s">
        <v>447</v>
      </c>
      <c r="U17" s="431"/>
      <c r="V17" s="575"/>
      <c r="W17" s="576"/>
      <c r="X17" s="157"/>
      <c r="AD17" s="50">
        <v>34</v>
      </c>
    </row>
    <row r="18" s="131" customFormat="1" ht="11.5" customHeight="1">
      <c r="A18" s="151"/>
      <c r="B18" s="151"/>
      <c r="C18" s="151"/>
      <c r="D18" s="151"/>
      <c r="E18" s="151"/>
      <c r="F18" s="61"/>
      <c r="G18" s="61"/>
      <c r="H18" s="61"/>
      <c r="I18" s="577"/>
      <c r="J18" s="578"/>
      <c r="K18" s="579">
        <v>1</v>
      </c>
      <c r="L18" s="580" t="s">
        <v>109</v>
      </c>
      <c r="M18" s="581" t="s">
        <v>110</v>
      </c>
      <c r="N18" s="582" t="str">
        <f ca="1">OFFSET(N18,0,-1)</f>
        <v>2</v>
      </c>
      <c r="O18" s="583">
        <f ca="1">OFFSET(O18,0,-1)+1</f>
        <v>3</v>
      </c>
      <c r="P18" s="583"/>
      <c r="Q18" s="583">
        <f ca="1">OFFSET(Q18,0,-1)+1</f>
        <v>1</v>
      </c>
      <c r="R18" s="583">
        <f ca="1">OFFSET(R18,0,-1)+1</f>
        <v>2</v>
      </c>
      <c r="S18" s="583">
        <f ca="1">OFFSET(S18,0,-1)+1</f>
        <v>3</v>
      </c>
      <c r="T18" s="583">
        <f ca="1">OFFSET(T18,0,-1)+1</f>
        <v>4</v>
      </c>
      <c r="U18" s="583"/>
      <c r="V18" s="583">
        <f ca="1">OFFSET(V18,0,-2)+1</f>
        <v>5</v>
      </c>
      <c r="W18" s="582">
        <f ca="1">OFFSET(W18,0,-1)</f>
        <v>5</v>
      </c>
      <c r="X18" s="583">
        <f ca="1">OFFSET(X18,0,-1)+1</f>
        <v>6</v>
      </c>
      <c r="Y18" s="57"/>
      <c r="Z18" s="57"/>
      <c r="AA18" s="57"/>
      <c r="AB18" s="57"/>
      <c r="AC18" s="57"/>
      <c r="AD18" s="131">
        <v>11</v>
      </c>
    </row>
    <row r="19" ht="21" customHeight="1">
      <c r="A19" s="493" t="s">
        <v>167</v>
      </c>
      <c r="B19" s="493" t="s">
        <v>168</v>
      </c>
      <c r="C19" s="493" t="s">
        <v>169</v>
      </c>
      <c r="D19" s="493" t="s">
        <v>170</v>
      </c>
      <c r="E19" s="493"/>
      <c r="F19" s="496"/>
      <c r="G19" s="496"/>
      <c r="H19" s="496"/>
      <c r="I19" s="60"/>
      <c r="J19" s="143"/>
      <c r="K19" s="497"/>
      <c r="L19" s="498">
        <f>INDEX(PT_DIFFERENTIATION_NUM_NTAR,MATCH(A19,PT_DIFFERENTIATION_NTAR_ID,0))</f>
        <v>0</v>
      </c>
      <c r="M19" s="499" t="s">
        <v>123</v>
      </c>
      <c r="N19" s="500"/>
      <c r="O19" s="1415" t="str">
        <f>INDEX(PT_DIFFERENTIATION_NTAR,MATCH(A19,PT_DIFFERENTIATION_NTAR_ID,0))</f>
        <v/>
      </c>
      <c r="P19" s="1415"/>
      <c r="Q19" s="1415"/>
      <c r="R19" s="1415"/>
      <c r="S19" s="1415"/>
      <c r="T19" s="1415"/>
      <c r="U19" s="1415"/>
      <c r="V19" s="1415"/>
      <c r="W19" s="1415"/>
      <c r="X19" s="504" t="s">
        <v>398</v>
      </c>
      <c r="Z19" s="129"/>
      <c r="AA19" s="129" t="str">
        <f t="shared" ref="AA19:AA32" si="80">IF(M19="","",M19)</f>
        <v xml:space="preserve">Наименование тарифа</v>
      </c>
      <c r="AB19" s="129"/>
      <c r="AC19" s="129"/>
      <c r="AD19" s="50">
        <v>20</v>
      </c>
    </row>
    <row r="20" ht="21" customHeight="1">
      <c r="A20" s="493" t="s">
        <v>167</v>
      </c>
      <c r="B20" s="493" t="s">
        <v>168</v>
      </c>
      <c r="C20" s="493" t="s">
        <v>169</v>
      </c>
      <c r="D20" s="493" t="s">
        <v>170</v>
      </c>
      <c r="E20" s="493"/>
      <c r="F20" s="496"/>
      <c r="G20" s="496"/>
      <c r="H20" s="496"/>
      <c r="I20" s="51"/>
      <c r="J20" s="506"/>
      <c r="K20" s="507"/>
      <c r="L20" s="498" t="str">
        <f>INDEX(PT_DIFFERENTIATION_NUM_TER,MATCH(B19,PT_DIFFERENTIATION_TER_ID,0))</f>
        <v>.</v>
      </c>
      <c r="M20" s="508" t="s">
        <v>399</v>
      </c>
      <c r="N20" s="500"/>
      <c r="O20" s="1415" t="str">
        <f>INDEX(PT_DIFFERENTIATION_TER,MATCH(B19,PT_DIFFERENTIATION_TER_ID,0))</f>
        <v/>
      </c>
      <c r="P20" s="1415"/>
      <c r="Q20" s="1415"/>
      <c r="R20" s="1415"/>
      <c r="S20" s="1415"/>
      <c r="T20" s="1415"/>
      <c r="U20" s="1415"/>
      <c r="V20" s="1415"/>
      <c r="W20" s="1415"/>
      <c r="X20" s="504" t="s">
        <v>400</v>
      </c>
      <c r="Z20" s="129"/>
      <c r="AA20" s="129" t="str">
        <f t="shared" si="80"/>
        <v xml:space="preserve">Территория действия тарифа</v>
      </c>
      <c r="AB20" s="129"/>
      <c r="AC20" s="129"/>
      <c r="AD20" s="50">
        <v>20</v>
      </c>
    </row>
    <row r="21" ht="24" customHeight="1">
      <c r="A21" s="493" t="s">
        <v>167</v>
      </c>
      <c r="B21" s="493" t="s">
        <v>168</v>
      </c>
      <c r="C21" s="493" t="s">
        <v>169</v>
      </c>
      <c r="D21" s="493" t="s">
        <v>170</v>
      </c>
      <c r="E21" s="493"/>
      <c r="F21" s="496"/>
      <c r="G21" s="496"/>
      <c r="H21" s="496"/>
      <c r="I21" s="509"/>
      <c r="J21" s="506"/>
      <c r="K21" s="507"/>
      <c r="L21" s="498" t="str">
        <f>INDEX(PT_DIFFERENTIATION_NUM_CS,MATCH(C19,PT_DIFFERENTIATION_CS_ID,0))</f>
        <v>..</v>
      </c>
      <c r="M21" s="510" t="s">
        <v>401</v>
      </c>
      <c r="N21" s="500"/>
      <c r="O21" s="1415" t="str">
        <f>INDEX(PT_DIFFERENTIATION_CS,MATCH(C19,PT_DIFFERENTIATION_CS_ID,0))</f>
        <v/>
      </c>
      <c r="P21" s="1415"/>
      <c r="Q21" s="1415"/>
      <c r="R21" s="1415"/>
      <c r="S21" s="1415"/>
      <c r="T21" s="1415"/>
      <c r="U21" s="1415"/>
      <c r="V21" s="1415"/>
      <c r="W21" s="1415"/>
      <c r="X21" s="504" t="s">
        <v>402</v>
      </c>
      <c r="Z21" s="129"/>
      <c r="AA21" s="129" t="str">
        <f t="shared" si="80"/>
        <v xml:space="preserve">Наименование системы теплоснабжения</v>
      </c>
      <c r="AB21" s="129"/>
      <c r="AC21" s="129"/>
      <c r="AD21" s="50">
        <v>23</v>
      </c>
    </row>
    <row r="22" ht="21" customHeight="1">
      <c r="A22" s="493" t="s">
        <v>167</v>
      </c>
      <c r="B22" s="493" t="s">
        <v>168</v>
      </c>
      <c r="C22" s="493" t="s">
        <v>169</v>
      </c>
      <c r="D22" s="493" t="s">
        <v>170</v>
      </c>
      <c r="E22" s="493"/>
      <c r="F22" s="496"/>
      <c r="G22" s="496"/>
      <c r="H22" s="496"/>
      <c r="I22" s="509"/>
      <c r="J22" s="506"/>
      <c r="K22" s="507"/>
      <c r="L22" s="498" t="str">
        <f>INDEX(PT_DIFFERENTIATION_NUM_IST_TE,MATCH(D19,PT_DIFFERENTIATION_IST_TE_ID,0))</f>
        <v>...</v>
      </c>
      <c r="M22" s="511" t="s">
        <v>403</v>
      </c>
      <c r="N22" s="500"/>
      <c r="O22" s="1415" t="str">
        <f>INDEX(PT_DIFFERENTIATION_IST_TE,MATCH(D19,PT_DIFFERENTIATION_IST_TE_ID,0))</f>
        <v/>
      </c>
      <c r="P22" s="1415"/>
      <c r="Q22" s="1415"/>
      <c r="R22" s="1415"/>
      <c r="S22" s="1415"/>
      <c r="T22" s="1415"/>
      <c r="U22" s="1415"/>
      <c r="V22" s="1415"/>
      <c r="W22" s="1415"/>
      <c r="X22" s="504" t="s">
        <v>404</v>
      </c>
      <c r="Z22" s="129"/>
      <c r="AA22" s="129" t="str">
        <f t="shared" si="80"/>
        <v xml:space="preserve">Источник тепловой энергии</v>
      </c>
      <c r="AB22" s="129"/>
      <c r="AC22" s="129"/>
      <c r="AD22" s="50">
        <v>20</v>
      </c>
    </row>
    <row r="23" ht="96.75" customHeight="1">
      <c r="A23" s="493" t="s">
        <v>167</v>
      </c>
      <c r="B23" s="493" t="s">
        <v>168</v>
      </c>
      <c r="C23" s="493" t="s">
        <v>169</v>
      </c>
      <c r="D23" s="493" t="s">
        <v>170</v>
      </c>
      <c r="E23" s="493"/>
      <c r="F23" s="113" t="str">
        <f>L22&amp;".1"</f>
        <v>....1</v>
      </c>
      <c r="I23" s="132">
        <v>1</v>
      </c>
      <c r="J23" s="132"/>
      <c r="K23" s="513"/>
      <c r="L23" s="498" t="str">
        <f>$F$23</f>
        <v>....1</v>
      </c>
      <c r="M23" s="514" t="s">
        <v>406</v>
      </c>
      <c r="N23" s="500"/>
      <c r="O23" s="621"/>
      <c r="P23" s="621"/>
      <c r="Q23" s="621"/>
      <c r="R23" s="621"/>
      <c r="S23" s="621"/>
      <c r="T23" s="621"/>
      <c r="U23" s="621"/>
      <c r="V23" s="621"/>
      <c r="W23" s="621"/>
      <c r="X23" s="504" t="s">
        <v>407</v>
      </c>
      <c r="Z23" s="129"/>
      <c r="AA23" s="129" t="str">
        <f t="shared" si="80"/>
        <v xml:space="preserve">Схема подключения теплопотребляющей установки к коллектору источника тепловой энергии</v>
      </c>
      <c r="AB23" s="129"/>
      <c r="AC23" s="129"/>
      <c r="AD23" s="50">
        <v>92</v>
      </c>
    </row>
    <row r="24" ht="86.25" customHeight="1">
      <c r="A24" s="493" t="s">
        <v>167</v>
      </c>
      <c r="B24" s="493" t="s">
        <v>168</v>
      </c>
      <c r="C24" s="493" t="s">
        <v>169</v>
      </c>
      <c r="D24" s="493" t="s">
        <v>170</v>
      </c>
      <c r="E24" s="493"/>
      <c r="F24" s="113"/>
      <c r="G24" s="113" t="str">
        <f>F23&amp;".1"</f>
        <v>....1.1</v>
      </c>
      <c r="I24" s="132"/>
      <c r="J24" s="132">
        <v>1</v>
      </c>
      <c r="K24" s="518"/>
      <c r="L24" s="498" t="str">
        <f>$G$24</f>
        <v>....1.1</v>
      </c>
      <c r="M24" s="519" t="s">
        <v>409</v>
      </c>
      <c r="N24" s="500"/>
      <c r="O24" s="445"/>
      <c r="P24" s="515"/>
      <c r="Q24" s="515"/>
      <c r="R24" s="515"/>
      <c r="S24" s="515"/>
      <c r="T24" s="515"/>
      <c r="U24" s="515"/>
      <c r="V24" s="515"/>
      <c r="W24" s="516"/>
      <c r="X24" s="504" t="s">
        <v>410</v>
      </c>
      <c r="Z24" s="129"/>
      <c r="AA24" s="129" t="str">
        <f t="shared" si="80"/>
        <v xml:space="preserve">Группа потребителей</v>
      </c>
      <c r="AB24" s="129"/>
      <c r="AC24" s="129"/>
      <c r="AD24" s="50">
        <v>82</v>
      </c>
    </row>
    <row r="25" ht="11.5" customHeight="1">
      <c r="A25" s="493" t="s">
        <v>167</v>
      </c>
      <c r="B25" s="493" t="s">
        <v>168</v>
      </c>
      <c r="C25" s="493" t="s">
        <v>169</v>
      </c>
      <c r="D25" s="493" t="s">
        <v>170</v>
      </c>
      <c r="E25" s="493"/>
      <c r="F25" s="113"/>
      <c r="G25" s="113"/>
      <c r="H25" s="113" t="str">
        <f>G24&amp;".1"</f>
        <v>....1.1.1</v>
      </c>
      <c r="I25" s="132"/>
      <c r="J25" s="132"/>
      <c r="K25" s="518">
        <v>1</v>
      </c>
      <c r="L25" s="498" t="str">
        <f>$H$25</f>
        <v>....1.1.1</v>
      </c>
      <c r="M25" s="520"/>
      <c r="N25" s="500"/>
      <c r="O25" s="521"/>
      <c r="P25" s="522"/>
      <c r="Q25" s="521"/>
      <c r="R25" s="523"/>
      <c r="S25" s="524"/>
      <c r="T25" s="224" t="s">
        <v>66</v>
      </c>
      <c r="U25" s="524"/>
      <c r="V25" s="224" t="s">
        <v>19</v>
      </c>
      <c r="W25" s="522"/>
      <c r="X25" s="525" t="s">
        <v>412</v>
      </c>
      <c r="Y25" s="57" t="e">
        <f>STRCHECKDATE(O26:W26)</f>
        <v>#NAME?</v>
      </c>
      <c r="Z25" s="129"/>
      <c r="AA25" s="129" t="str">
        <f t="shared" si="80"/>
        <v/>
      </c>
      <c r="AB25" s="129"/>
      <c r="AC25" s="129"/>
      <c r="AD25" s="50">
        <v>11</v>
      </c>
    </row>
    <row r="26" ht="11.5" customHeight="1">
      <c r="A26" s="493" t="s">
        <v>167</v>
      </c>
      <c r="B26" s="493" t="s">
        <v>168</v>
      </c>
      <c r="C26" s="493" t="s">
        <v>169</v>
      </c>
      <c r="D26" s="493" t="s">
        <v>170</v>
      </c>
      <c r="E26" s="493"/>
      <c r="F26" s="113"/>
      <c r="G26" s="113"/>
      <c r="H26" s="113"/>
      <c r="I26" s="132"/>
      <c r="J26" s="132"/>
      <c r="K26" s="518"/>
      <c r="L26" s="472"/>
      <c r="M26" s="500"/>
      <c r="N26" s="500"/>
      <c r="O26" s="522"/>
      <c r="P26" s="522"/>
      <c r="Q26" s="522"/>
      <c r="R26" s="526" t="str">
        <f>S25&amp;"-"&amp;U25</f>
        <v>-</v>
      </c>
      <c r="S26" s="527"/>
      <c r="T26" s="224"/>
      <c r="U26" s="527"/>
      <c r="V26" s="224"/>
      <c r="W26" s="522"/>
      <c r="X26" s="528"/>
      <c r="Z26" s="129"/>
      <c r="AA26" s="129" t="str">
        <f t="shared" si="80"/>
        <v/>
      </c>
      <c r="AB26" s="129"/>
      <c r="AC26" s="129"/>
      <c r="AD26" s="50">
        <v>11</v>
      </c>
    </row>
    <row r="27" ht="15.75" customHeight="1">
      <c r="A27" s="493" t="s">
        <v>167</v>
      </c>
      <c r="B27" s="493" t="s">
        <v>168</v>
      </c>
      <c r="C27" s="493" t="s">
        <v>169</v>
      </c>
      <c r="D27" s="493" t="s">
        <v>170</v>
      </c>
      <c r="E27" s="493"/>
      <c r="F27" s="113"/>
      <c r="G27" s="113"/>
      <c r="I27" s="132"/>
      <c r="J27" s="132"/>
      <c r="K27" s="513"/>
      <c r="L27" s="529"/>
      <c r="M27" s="530" t="s">
        <v>413</v>
      </c>
      <c r="N27" s="214"/>
      <c r="O27" s="214"/>
      <c r="P27" s="214"/>
      <c r="Q27" s="214"/>
      <c r="R27" s="214"/>
      <c r="S27" s="214"/>
      <c r="T27" s="214"/>
      <c r="U27" s="214"/>
      <c r="V27" s="214"/>
      <c r="W27" s="531"/>
      <c r="X27" s="532"/>
      <c r="Z27" s="129"/>
      <c r="AA27" s="129" t="str">
        <f t="shared" si="80"/>
        <v xml:space="preserve">Добавить вид теплоносителя (параметры теплоносителя)</v>
      </c>
      <c r="AB27" s="129"/>
      <c r="AC27" s="129"/>
      <c r="AD27" s="50">
        <v>15</v>
      </c>
    </row>
    <row r="28" ht="15.75" customHeight="1">
      <c r="A28" s="493" t="s">
        <v>167</v>
      </c>
      <c r="B28" s="493" t="s">
        <v>168</v>
      </c>
      <c r="C28" s="493" t="s">
        <v>169</v>
      </c>
      <c r="D28" s="493" t="s">
        <v>170</v>
      </c>
      <c r="E28" s="493"/>
      <c r="F28" s="113"/>
      <c r="I28" s="132"/>
      <c r="J28" s="132"/>
      <c r="K28" s="513"/>
      <c r="L28" s="529"/>
      <c r="M28" s="533" t="s">
        <v>414</v>
      </c>
      <c r="N28" s="214"/>
      <c r="O28" s="214"/>
      <c r="P28" s="214"/>
      <c r="Q28" s="214"/>
      <c r="R28" s="214"/>
      <c r="S28" s="214"/>
      <c r="T28" s="214"/>
      <c r="U28" s="214"/>
      <c r="V28" s="534"/>
      <c r="W28" s="214"/>
      <c r="X28" s="535"/>
      <c r="Z28" s="129"/>
      <c r="AA28" s="129" t="str">
        <f t="shared" si="80"/>
        <v xml:space="preserve">Добавить группу потребителей</v>
      </c>
      <c r="AB28" s="129"/>
      <c r="AC28" s="129"/>
      <c r="AD28" s="50">
        <v>15</v>
      </c>
    </row>
    <row r="29" ht="14.65" customHeight="1">
      <c r="A29" s="493" t="s">
        <v>167</v>
      </c>
      <c r="B29" s="493" t="s">
        <v>168</v>
      </c>
      <c r="C29" s="493" t="s">
        <v>169</v>
      </c>
      <c r="D29" s="493" t="s">
        <v>170</v>
      </c>
      <c r="E29" s="493"/>
      <c r="F29" s="496"/>
      <c r="G29" s="496"/>
      <c r="H29" s="53"/>
      <c r="I29" s="143"/>
      <c r="J29" s="536"/>
      <c r="K29" s="497"/>
      <c r="L29" s="529"/>
      <c r="M29" s="537" t="s">
        <v>415</v>
      </c>
      <c r="N29" s="214"/>
      <c r="O29" s="214"/>
      <c r="P29" s="214"/>
      <c r="Q29" s="214"/>
      <c r="R29" s="214"/>
      <c r="S29" s="214"/>
      <c r="T29" s="214"/>
      <c r="U29" s="214"/>
      <c r="V29" s="534"/>
      <c r="W29" s="214"/>
      <c r="X29" s="535"/>
      <c r="Z29" s="129"/>
      <c r="AA29" s="129" t="str">
        <f t="shared" si="80"/>
        <v xml:space="preserve">Добавить схему подключения</v>
      </c>
      <c r="AB29" s="129"/>
      <c r="AC29" s="129"/>
      <c r="AD29" s="50">
        <v>14</v>
      </c>
    </row>
    <row r="30" ht="14.65" customHeight="1">
      <c r="A30" s="493" t="s">
        <v>167</v>
      </c>
      <c r="B30" s="493" t="s">
        <v>168</v>
      </c>
      <c r="C30" s="493" t="s">
        <v>169</v>
      </c>
      <c r="D30" s="493"/>
      <c r="E30" s="493" t="s">
        <v>588</v>
      </c>
      <c r="F30" s="496"/>
      <c r="G30" s="496"/>
      <c r="H30" s="53"/>
      <c r="I30" s="143"/>
      <c r="J30" s="536"/>
      <c r="K30" s="497"/>
      <c r="L30" s="1416"/>
      <c r="M30" s="1417"/>
      <c r="N30" s="1418"/>
      <c r="O30" s="1418"/>
      <c r="P30" s="1418"/>
      <c r="Q30" s="1418"/>
      <c r="R30" s="1418"/>
      <c r="S30" s="1418"/>
      <c r="T30" s="1418"/>
      <c r="U30" s="1418"/>
      <c r="V30" s="1419"/>
      <c r="W30" s="1418"/>
      <c r="X30" s="1420"/>
      <c r="Z30" s="129"/>
      <c r="AA30" s="129" t="str">
        <f t="shared" si="80"/>
        <v/>
      </c>
      <c r="AB30" s="129"/>
      <c r="AC30" s="129"/>
      <c r="AD30" s="50">
        <v>14</v>
      </c>
    </row>
    <row r="31" ht="14.65" customHeight="1">
      <c r="A31" s="493" t="s">
        <v>167</v>
      </c>
      <c r="B31" s="493" t="s">
        <v>168</v>
      </c>
      <c r="C31" s="493"/>
      <c r="D31" s="493"/>
      <c r="E31" s="493" t="s">
        <v>2239</v>
      </c>
      <c r="F31" s="669"/>
      <c r="G31" s="669"/>
      <c r="H31" s="53"/>
      <c r="I31" s="311"/>
      <c r="J31" s="536"/>
      <c r="K31" s="1331"/>
      <c r="L31" s="1416"/>
      <c r="M31" s="1421"/>
      <c r="N31" s="1418"/>
      <c r="O31" s="1418"/>
      <c r="P31" s="1418"/>
      <c r="Q31" s="1418"/>
      <c r="R31" s="1418"/>
      <c r="S31" s="1418"/>
      <c r="T31" s="1418"/>
      <c r="U31" s="1418"/>
      <c r="V31" s="1419"/>
      <c r="W31" s="1418"/>
      <c r="X31" s="1420"/>
      <c r="Z31" s="129"/>
      <c r="AA31" s="129" t="str">
        <f t="shared" si="80"/>
        <v/>
      </c>
      <c r="AB31" s="129"/>
      <c r="AC31" s="129"/>
      <c r="AD31" s="50">
        <v>14</v>
      </c>
    </row>
    <row r="32" ht="14.65" customHeight="1">
      <c r="A32" s="493" t="s">
        <v>2240</v>
      </c>
      <c r="B32" s="493"/>
      <c r="C32" s="493"/>
      <c r="D32" s="493"/>
      <c r="E32" s="493" t="s">
        <v>104</v>
      </c>
      <c r="F32" s="669"/>
      <c r="G32" s="669"/>
      <c r="H32" s="53"/>
      <c r="I32" s="143"/>
      <c r="J32" s="536"/>
      <c r="K32" s="497"/>
      <c r="L32" s="1416"/>
      <c r="M32" s="1422"/>
      <c r="N32" s="1418"/>
      <c r="O32" s="1418"/>
      <c r="P32" s="1418"/>
      <c r="Q32" s="1418"/>
      <c r="R32" s="1418"/>
      <c r="S32" s="1418"/>
      <c r="T32" s="1418"/>
      <c r="U32" s="1418"/>
      <c r="V32" s="1419"/>
      <c r="W32" s="1418"/>
      <c r="X32" s="1420"/>
      <c r="Z32" s="129"/>
      <c r="AA32" s="129" t="str">
        <f t="shared" si="80"/>
        <v/>
      </c>
      <c r="AB32" s="129"/>
      <c r="AC32" s="129"/>
      <c r="AD32" s="50">
        <v>14</v>
      </c>
    </row>
    <row r="33" s="63" customFormat="1" ht="11.5" customHeight="1">
      <c r="A33" s="493"/>
      <c r="B33" s="493"/>
      <c r="C33" s="493"/>
      <c r="D33" s="493"/>
      <c r="E33" s="493" t="s">
        <v>240</v>
      </c>
      <c r="F33" s="669"/>
      <c r="G33" s="1423"/>
      <c r="H33" s="53"/>
      <c r="L33" s="1424"/>
      <c r="M33" s="1425"/>
      <c r="N33" s="1418"/>
      <c r="O33" s="1418"/>
      <c r="P33" s="1418"/>
      <c r="Q33" s="1418"/>
      <c r="R33" s="1418"/>
      <c r="S33" s="1418"/>
      <c r="T33" s="1418"/>
      <c r="U33" s="1418"/>
      <c r="V33" s="1419"/>
      <c r="W33" s="1418"/>
      <c r="X33" s="1420"/>
      <c r="Y33" s="167"/>
      <c r="Z33" s="167"/>
      <c r="AA33" s="167"/>
      <c r="AB33" s="167"/>
      <c r="AC33" s="167"/>
      <c r="AD33" s="63">
        <v>11</v>
      </c>
    </row>
    <row r="34" ht="11.5" customHeight="1">
      <c r="F34" s="53"/>
      <c r="G34" s="53"/>
      <c r="H34" s="53"/>
      <c r="I34" s="50"/>
      <c r="J34" s="50"/>
      <c r="K34" s="50"/>
      <c r="Y34" s="50"/>
      <c r="Z34" s="50"/>
      <c r="AA34" s="50"/>
      <c r="AB34" s="50"/>
      <c r="AC34" s="50"/>
      <c r="AD34" s="50">
        <v>11</v>
      </c>
    </row>
    <row r="35" ht="28.5" customHeight="1">
      <c r="H35" s="53"/>
      <c r="L35" s="588" t="s">
        <v>805</v>
      </c>
      <c r="M35" s="588" t="s">
        <v>2241</v>
      </c>
      <c r="N35" s="588"/>
      <c r="O35" s="588"/>
      <c r="P35" s="588"/>
      <c r="Q35" s="588"/>
      <c r="R35" s="588"/>
      <c r="S35" s="588"/>
      <c r="T35" s="588"/>
      <c r="U35" s="588"/>
      <c r="V35" s="588"/>
      <c r="W35" s="588"/>
      <c r="X35" s="588"/>
      <c r="AD35" s="50">
        <v>27</v>
      </c>
    </row>
    <row r="36" ht="109.2" customHeight="1">
      <c r="H36" s="53"/>
      <c r="I36" s="60"/>
      <c r="M36" s="588" t="s">
        <v>2242</v>
      </c>
      <c r="N36" s="588"/>
      <c r="O36" s="588"/>
      <c r="P36" s="588"/>
      <c r="Q36" s="588"/>
      <c r="R36" s="588"/>
      <c r="S36" s="588"/>
      <c r="T36" s="588"/>
      <c r="U36" s="588"/>
      <c r="V36" s="588"/>
      <c r="W36" s="588"/>
      <c r="X36" s="588"/>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82</v>
      </c>
      <c r="B41" s="53">
        <v>0</v>
      </c>
      <c r="C41" s="53">
        <v>0</v>
      </c>
      <c r="D41" s="53">
        <v>0</v>
      </c>
      <c r="E41" s="53">
        <v>0</v>
      </c>
      <c r="F41" s="61">
        <v>0</v>
      </c>
      <c r="G41" s="61">
        <v>0</v>
      </c>
      <c r="H41" s="61">
        <v>0</v>
      </c>
      <c r="I41" s="60">
        <v>3</v>
      </c>
      <c r="J41" s="492">
        <v>3</v>
      </c>
      <c r="K41" s="492">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0" deleteRows="0" formatCells="1" formatColumns="0" formatRows="0" insertColumns="1" insertHyperlinks="1" insertRows="0" pivotTables="1" selectLockedCells="0" selectUnlockedCells="0" sheet="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isablePrompts="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D0023-001C-4C63-AD40-0090007F0085}"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 xr:uid="{005500C0-0070-457F-B986-0080000F00B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6400D1-0073-4B45-B188-006A00940054}"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2800B7-00EA-40A2-B5B7-002B00B1002A}"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48" width="15.00390625"/>
    <col customWidth="1" hidden="1" min="2" max="2" style="349" width="15.00390625"/>
    <col customWidth="1" min="3" max="3" style="350" width="3.00390625"/>
    <col customWidth="1" min="4" max="4" style="351" width="6.00390625"/>
    <col customWidth="1" min="5" max="5" style="350" width="52.00390625"/>
    <col customWidth="1" min="6" max="6" style="350" width="48.00390625"/>
    <col customWidth="1" min="7" max="7" style="350" width="121.00390625"/>
    <col customWidth="1" min="8" max="8" style="350" width="8.00390625"/>
    <col customWidth="1" min="9" max="9" style="350" width="64.00390625"/>
    <col hidden="1" min="10" max="10" style="350" width="9.140625"/>
  </cols>
  <sheetData>
    <row r="1" ht="11.25" hidden="1" customHeight="1">
      <c r="A1" s="348" t="s">
        <v>301</v>
      </c>
      <c r="J1" s="350" t="s">
        <v>14</v>
      </c>
    </row>
    <row r="2" ht="11.25" hidden="1" customHeight="1">
      <c r="J2" s="350">
        <v>0</v>
      </c>
    </row>
    <row r="3" s="352" customFormat="1" ht="11.5" customHeight="1">
      <c r="A3" s="348"/>
      <c r="B3" s="349"/>
      <c r="D3" s="353"/>
      <c r="J3" s="352">
        <v>11</v>
      </c>
    </row>
    <row r="4" ht="27.300000000000001" customHeight="1">
      <c r="D4" s="236" t="str">
        <f>ORG_INFO_NAME_FORM</f>
        <v xml:space="preserve">Форма 1. Информация об организации, осуществляющей холодное водоснабжение (общая информация)</v>
      </c>
      <c r="E4" s="237"/>
      <c r="F4" s="238"/>
      <c r="I4" s="354"/>
      <c r="J4" s="350">
        <v>26</v>
      </c>
    </row>
    <row r="5" ht="18" customHeight="1">
      <c r="D5" s="320" t="str">
        <f>IF(org=0,"Не определено",org)</f>
        <v xml:space="preserve">филиал Пермская ГРЭС АО "Интер РАО - Электрогенерация"</v>
      </c>
      <c r="E5" s="320"/>
      <c r="F5" s="320"/>
      <c r="I5" s="354"/>
      <c r="J5" s="350">
        <v>17</v>
      </c>
    </row>
    <row r="6" s="352" customFormat="1" ht="11.5" customHeight="1">
      <c r="A6" s="348"/>
      <c r="B6" s="349"/>
      <c r="D6" s="355"/>
      <c r="E6" s="355"/>
      <c r="F6" s="356"/>
      <c r="G6" s="355"/>
      <c r="J6" s="352">
        <v>11</v>
      </c>
    </row>
    <row r="7" ht="11.25" hidden="1" customHeight="1">
      <c r="A7" s="91"/>
      <c r="B7" s="357"/>
      <c r="C7" s="91"/>
      <c r="D7" s="83"/>
      <c r="E7" s="358"/>
      <c r="F7" s="358"/>
      <c r="J7" s="350">
        <v>0</v>
      </c>
    </row>
    <row r="8" ht="11.5" customHeight="1">
      <c r="A8" s="91"/>
      <c r="B8" s="357"/>
      <c r="C8" s="91"/>
      <c r="D8" s="359" t="s">
        <v>302</v>
      </c>
      <c r="E8" s="360"/>
      <c r="F8" s="360"/>
      <c r="G8" s="361" t="s">
        <v>303</v>
      </c>
      <c r="J8" s="350">
        <v>11</v>
      </c>
    </row>
    <row r="9" ht="11.5" customHeight="1">
      <c r="A9" s="91"/>
      <c r="B9" s="357"/>
      <c r="C9" s="91"/>
      <c r="D9" s="360" t="s">
        <v>88</v>
      </c>
      <c r="E9" s="361" t="s">
        <v>304</v>
      </c>
      <c r="F9" s="361" t="s">
        <v>305</v>
      </c>
      <c r="G9" s="362"/>
      <c r="J9" s="350">
        <v>11</v>
      </c>
    </row>
    <row r="10" ht="12" hidden="1" customHeight="1">
      <c r="A10" s="91"/>
      <c r="B10" s="357"/>
      <c r="C10" s="91"/>
      <c r="D10" s="363"/>
      <c r="E10" s="363"/>
      <c r="F10" s="363"/>
      <c r="G10" s="363"/>
      <c r="J10" s="350">
        <v>0</v>
      </c>
    </row>
    <row r="11" ht="22.5" hidden="1" customHeight="1">
      <c r="A11" s="91"/>
      <c r="B11" s="357"/>
      <c r="C11" s="91"/>
      <c r="D11" s="364" t="s">
        <v>109</v>
      </c>
      <c r="E11" s="365" t="s">
        <v>306</v>
      </c>
      <c r="F11" s="366" t="str">
        <f>IF(region_name="","",region_name)</f>
        <v xml:space="preserve">Пермский край</v>
      </c>
      <c r="G11" s="365" t="s">
        <v>307</v>
      </c>
      <c r="H11" s="367"/>
      <c r="J11" s="350">
        <v>0</v>
      </c>
    </row>
    <row r="12" ht="22.5" hidden="1" customHeight="1">
      <c r="A12" s="91"/>
      <c r="B12" s="357"/>
      <c r="C12" s="91"/>
      <c r="D12" s="368" t="s">
        <v>109</v>
      </c>
      <c r="E12" s="3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246" t="s">
        <v>308</v>
      </c>
      <c r="G12" s="370"/>
      <c r="H12" s="367"/>
      <c r="J12" s="350">
        <v>0</v>
      </c>
    </row>
    <row r="13" ht="23.25" customHeight="1">
      <c r="A13" s="91"/>
      <c r="B13" s="357"/>
      <c r="C13" s="91"/>
      <c r="D13" s="368" t="s">
        <v>109</v>
      </c>
      <c r="E13" s="371" t="str">
        <f>"Наименование юридического лица"&amp;IF(TEMPLATE_SPHERE="TKO"," (индивидуального предпринимателя)","")</f>
        <v xml:space="preserve">Наименование юридического лица</v>
      </c>
      <c r="F13" s="372"/>
      <c r="G13" s="3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367"/>
      <c r="J13" s="350">
        <v>22</v>
      </c>
    </row>
    <row r="14" ht="22.5" hidden="1" customHeight="1">
      <c r="A14" s="91"/>
      <c r="B14" s="357"/>
      <c r="C14" s="91"/>
      <c r="D14" s="364" t="s">
        <v>309</v>
      </c>
      <c r="E14" s="373" t="s">
        <v>310</v>
      </c>
      <c r="F14" s="366" t="str">
        <f>IF(inn="","",inn)</f>
        <v>7704784450</v>
      </c>
      <c r="G14" s="365" t="s">
        <v>311</v>
      </c>
      <c r="H14" s="367"/>
      <c r="J14" s="350">
        <v>0</v>
      </c>
    </row>
    <row r="15" ht="22.5" hidden="1" customHeight="1">
      <c r="A15" s="91"/>
      <c r="B15" s="357"/>
      <c r="C15" s="91"/>
      <c r="D15" s="364" t="s">
        <v>312</v>
      </c>
      <c r="E15" s="373" t="s">
        <v>313</v>
      </c>
      <c r="F15" s="366" t="str">
        <f>IF(kpp="","",kpp)</f>
        <v>591443001</v>
      </c>
      <c r="G15" s="365" t="s">
        <v>314</v>
      </c>
      <c r="H15" s="367"/>
      <c r="J15" s="350">
        <v>0</v>
      </c>
    </row>
    <row r="16" ht="39" customHeight="1">
      <c r="A16" s="91"/>
      <c r="B16" s="357"/>
      <c r="C16" s="91"/>
      <c r="D16" s="368" t="s">
        <v>110</v>
      </c>
      <c r="E16" s="37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72"/>
      <c r="G16" s="369"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7"/>
      <c r="J16" s="350">
        <v>37</v>
      </c>
    </row>
    <row r="17" ht="23.25" customHeight="1">
      <c r="A17" s="91"/>
      <c r="B17" s="357"/>
      <c r="C17" s="91"/>
      <c r="D17" s="368" t="s">
        <v>90</v>
      </c>
      <c r="E17" s="371" t="str">
        <f>"Дата присвоения ОГРН"&amp;IF(TEMPLATE_SPHERE="TKO",""," (ОГРНИП)")</f>
        <v xml:space="preserve">Дата присвоения ОГРН (ОГРНИП)</v>
      </c>
      <c r="F17" s="89" t="s">
        <v>28</v>
      </c>
      <c r="G17" s="369" t="str">
        <f>"Дата присвоения ОГРН"&amp;IF(TEMPLATE_SPHERE="TKO",""," (ОГРНИП)")&amp;" указывается в виде «ДД.ММ.ГГГГ»."</f>
        <v xml:space="preserve">Дата присвоения ОГРН (ОГРНИП) указывается в виде «ДД.ММ.ГГГГ».</v>
      </c>
      <c r="H17" s="367"/>
      <c r="J17" s="350">
        <v>22</v>
      </c>
    </row>
    <row r="18" ht="71.25" customHeight="1">
      <c r="A18" s="91"/>
      <c r="B18" s="357"/>
      <c r="C18" s="91"/>
      <c r="D18" s="368" t="s">
        <v>91</v>
      </c>
      <c r="E18" s="37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2"/>
      <c r="G18" s="370"/>
      <c r="H18" s="367"/>
      <c r="J18" s="350">
        <v>68</v>
      </c>
    </row>
    <row r="19" ht="22.5" hidden="1" customHeight="1">
      <c r="A19" s="374" t="s">
        <v>315</v>
      </c>
      <c r="B19" s="357"/>
      <c r="C19" s="375"/>
      <c r="D19" s="368" t="str">
        <f>A19</f>
        <v>5.1</v>
      </c>
      <c r="E19" s="371" t="s">
        <v>316</v>
      </c>
      <c r="F19" s="246" t="s">
        <v>308</v>
      </c>
      <c r="G19" s="369" t="s">
        <v>317</v>
      </c>
      <c r="H19" s="367"/>
      <c r="I19" s="376"/>
      <c r="J19" s="350">
        <v>0</v>
      </c>
    </row>
    <row r="20" ht="24" hidden="1" customHeight="1">
      <c r="A20" s="374"/>
      <c r="B20" s="357"/>
      <c r="C20" s="375"/>
      <c r="D20" s="377" t="str">
        <f>D19&amp;".1"</f>
        <v>5.1.1</v>
      </c>
      <c r="E20" s="378" t="s">
        <v>318</v>
      </c>
      <c r="F20" s="379" t="s">
        <v>28</v>
      </c>
      <c r="G20" s="370"/>
      <c r="H20" s="367"/>
      <c r="I20" s="376"/>
      <c r="J20" s="350">
        <v>0</v>
      </c>
    </row>
    <row r="21" ht="22.5" hidden="1" customHeight="1">
      <c r="A21" s="374"/>
      <c r="B21" s="357"/>
      <c r="C21" s="375"/>
      <c r="D21" s="377" t="str">
        <f>D19&amp;".2"</f>
        <v>5.1.2</v>
      </c>
      <c r="E21" s="378" t="s">
        <v>319</v>
      </c>
      <c r="F21" s="380" t="s">
        <v>28</v>
      </c>
      <c r="G21" s="369" t="s">
        <v>320</v>
      </c>
      <c r="H21" s="367"/>
      <c r="I21" s="376"/>
      <c r="J21" s="350">
        <v>0</v>
      </c>
    </row>
    <row r="22" ht="22.5" hidden="1" customHeight="1">
      <c r="A22" s="374"/>
      <c r="B22" s="357"/>
      <c r="C22" s="375"/>
      <c r="D22" s="377" t="str">
        <f>D19&amp;".3"</f>
        <v>5.1.3</v>
      </c>
      <c r="E22" s="378" t="s">
        <v>321</v>
      </c>
      <c r="F22" s="379" t="s">
        <v>28</v>
      </c>
      <c r="G22" s="370"/>
      <c r="H22" s="367"/>
      <c r="I22" s="376"/>
      <c r="J22" s="350">
        <v>0</v>
      </c>
    </row>
    <row r="23" ht="22.5" hidden="1" customHeight="1">
      <c r="A23" s="374"/>
      <c r="B23" s="357"/>
      <c r="C23" s="375"/>
      <c r="D23" s="377" t="str">
        <f>D19&amp;".4"</f>
        <v>5.1.4</v>
      </c>
      <c r="E23" s="378" t="s">
        <v>322</v>
      </c>
      <c r="F23" s="379" t="s">
        <v>28</v>
      </c>
      <c r="G23" s="369" t="s">
        <v>323</v>
      </c>
      <c r="H23" s="367"/>
      <c r="I23" s="376"/>
      <c r="J23" s="350">
        <v>0</v>
      </c>
    </row>
    <row r="24" ht="22.5" hidden="1" customHeight="1">
      <c r="A24" s="381"/>
      <c r="B24" s="357"/>
      <c r="C24" s="382"/>
      <c r="D24" s="383"/>
      <c r="E24" s="172" t="s">
        <v>324</v>
      </c>
      <c r="F24" s="384"/>
      <c r="G24" s="385"/>
      <c r="H24" s="367"/>
      <c r="I24" s="376"/>
      <c r="J24" s="350">
        <v>0</v>
      </c>
    </row>
    <row r="25" s="349" customFormat="1" ht="24.75" hidden="1" customHeight="1">
      <c r="A25" s="91"/>
      <c r="B25" s="357"/>
      <c r="C25" s="357"/>
      <c r="D25" s="386" t="s">
        <v>90</v>
      </c>
      <c r="E25" s="387" t="s">
        <v>325</v>
      </c>
      <c r="F25" s="158" t="s">
        <v>308</v>
      </c>
      <c r="G25" s="387"/>
      <c r="J25" s="349">
        <v>0</v>
      </c>
    </row>
    <row r="26" s="349" customFormat="1" ht="11.25" hidden="1" customHeight="1">
      <c r="A26" s="91"/>
      <c r="B26" s="357"/>
      <c r="C26" s="357"/>
      <c r="D26" s="386" t="s">
        <v>326</v>
      </c>
      <c r="E26" s="388" t="s">
        <v>327</v>
      </c>
      <c r="F26" s="158" t="s">
        <v>308</v>
      </c>
      <c r="G26" s="387"/>
      <c r="J26" s="349">
        <v>0</v>
      </c>
    </row>
    <row r="27" s="349" customFormat="1" ht="11.25" hidden="1" customHeight="1">
      <c r="A27" s="91"/>
      <c r="B27" s="357"/>
      <c r="C27" s="357"/>
      <c r="D27" s="386" t="s">
        <v>328</v>
      </c>
      <c r="E27" s="389" t="s">
        <v>329</v>
      </c>
      <c r="F27" s="390"/>
      <c r="G27" s="38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349">
        <v>0</v>
      </c>
    </row>
    <row r="28" s="349" customFormat="1" ht="11.25" hidden="1" customHeight="1">
      <c r="A28" s="91"/>
      <c r="B28" s="357"/>
      <c r="C28" s="357"/>
      <c r="D28" s="386" t="s">
        <v>330</v>
      </c>
      <c r="E28" s="389" t="s">
        <v>331</v>
      </c>
      <c r="F28" s="390"/>
      <c r="G28" s="38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349">
        <v>0</v>
      </c>
    </row>
    <row r="29" s="349" customFormat="1" ht="11.25" hidden="1" customHeight="1">
      <c r="A29" s="91"/>
      <c r="B29" s="357"/>
      <c r="C29" s="357"/>
      <c r="D29" s="386" t="s">
        <v>332</v>
      </c>
      <c r="E29" s="389" t="s">
        <v>333</v>
      </c>
      <c r="F29" s="390"/>
      <c r="G29" s="38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349">
        <v>0</v>
      </c>
    </row>
    <row r="30" s="349" customFormat="1" ht="11.25" hidden="1" customHeight="1">
      <c r="A30" s="91"/>
      <c r="B30" s="357"/>
      <c r="C30" s="357"/>
      <c r="D30" s="386" t="s">
        <v>334</v>
      </c>
      <c r="E30" s="388" t="s">
        <v>335</v>
      </c>
      <c r="F30" s="390"/>
      <c r="G30" s="387"/>
      <c r="J30" s="349">
        <v>0</v>
      </c>
    </row>
    <row r="31" s="349" customFormat="1" ht="11.25" hidden="1" customHeight="1">
      <c r="A31" s="91"/>
      <c r="B31" s="357"/>
      <c r="C31" s="357"/>
      <c r="D31" s="386" t="s">
        <v>336</v>
      </c>
      <c r="E31" s="388" t="s">
        <v>337</v>
      </c>
      <c r="F31" s="390"/>
      <c r="G31" s="387"/>
      <c r="J31" s="349">
        <v>0</v>
      </c>
    </row>
    <row r="32" s="349" customFormat="1" ht="11.25" hidden="1" customHeight="1">
      <c r="A32" s="91"/>
      <c r="B32" s="357"/>
      <c r="C32" s="357"/>
      <c r="D32" s="386" t="s">
        <v>338</v>
      </c>
      <c r="E32" s="388" t="s">
        <v>339</v>
      </c>
      <c r="F32" s="390"/>
      <c r="G32" s="387"/>
      <c r="J32" s="349">
        <v>0</v>
      </c>
    </row>
    <row r="33" ht="24" customHeight="1">
      <c r="A33" s="91" t="str">
        <f>IF(TEMPLATE_SPHERE="HEAT","6","5")</f>
        <v>5</v>
      </c>
      <c r="B33" s="357"/>
      <c r="C33" s="91"/>
      <c r="D33" s="377" t="str">
        <f>A33</f>
        <v>5</v>
      </c>
      <c r="E33" s="29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246" t="s">
        <v>308</v>
      </c>
      <c r="G33" s="370"/>
      <c r="H33" s="367"/>
      <c r="J33" s="350">
        <v>23</v>
      </c>
    </row>
    <row r="34" ht="23.25" customHeight="1">
      <c r="A34" s="91"/>
      <c r="B34" s="357"/>
      <c r="C34" s="91"/>
      <c r="D34" s="377" t="str">
        <f>D33&amp;".1"</f>
        <v>5.1</v>
      </c>
      <c r="E34" s="371" t="str">
        <f>"фамилия"&amp;IF(TEMPLATE_SPHERE&lt;&gt;"HEAT"," руководителя","")</f>
        <v xml:space="preserve">фамилия руководителя</v>
      </c>
      <c r="F34" s="372"/>
      <c r="G34" s="3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367"/>
      <c r="J34" s="350">
        <v>22</v>
      </c>
    </row>
    <row r="35" ht="23.25" customHeight="1">
      <c r="A35" s="91"/>
      <c r="B35" s="357"/>
      <c r="C35" s="91"/>
      <c r="D35" s="377" t="str">
        <f>D33&amp;".2"</f>
        <v>5.2</v>
      </c>
      <c r="E35" s="371" t="str">
        <f>"имя"&amp;IF(TEMPLATE_SPHERE&lt;&gt;"HEAT"," руководителя","")</f>
        <v xml:space="preserve">имя руководителя</v>
      </c>
      <c r="F35" s="372"/>
      <c r="G35" s="3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367"/>
      <c r="J35" s="350">
        <v>22</v>
      </c>
    </row>
    <row r="36" ht="24" customHeight="1">
      <c r="A36" s="91"/>
      <c r="B36" s="357"/>
      <c r="C36" s="91"/>
      <c r="D36" s="377" t="str">
        <f>D33&amp;".3"</f>
        <v>5.3</v>
      </c>
      <c r="E36" s="371" t="str">
        <f>"отчество"&amp;IF(TEMPLATE_SPHERE&lt;&gt;"HEAT"," руководителя","")</f>
        <v xml:space="preserve">отчество руководителя</v>
      </c>
      <c r="F36" s="391"/>
      <c r="G36" s="3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367"/>
      <c r="J36" s="350">
        <v>23</v>
      </c>
    </row>
    <row r="37" ht="35.649999999999999" customHeight="1">
      <c r="A37" s="91"/>
      <c r="B37" s="357"/>
      <c r="C37" s="91"/>
      <c r="D37" s="377">
        <f>D33+1</f>
        <v>6</v>
      </c>
      <c r="E37" s="297"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372"/>
      <c r="G37" s="369" t="s">
        <v>340</v>
      </c>
      <c r="H37" s="367"/>
      <c r="J37" s="350">
        <v>34</v>
      </c>
    </row>
    <row r="38" ht="35.649999999999999" customHeight="1">
      <c r="A38" s="91"/>
      <c r="B38" s="357"/>
      <c r="C38" s="91"/>
      <c r="D38" s="377">
        <f t="shared" ref="D38:D39" si="0">D37+1</f>
        <v>7</v>
      </c>
      <c r="E38" s="297"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372"/>
      <c r="G38" s="369" t="s">
        <v>340</v>
      </c>
      <c r="H38" s="367"/>
      <c r="J38" s="350">
        <v>34</v>
      </c>
    </row>
    <row r="39" ht="23.25" customHeight="1">
      <c r="A39" s="91"/>
      <c r="B39" s="357"/>
      <c r="C39" s="91"/>
      <c r="D39" s="377">
        <f t="shared" si="0"/>
        <v>8</v>
      </c>
      <c r="E39" s="392"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246" t="s">
        <v>308</v>
      </c>
      <c r="G39" s="39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7"/>
      <c r="J39" s="350">
        <v>22</v>
      </c>
    </row>
    <row r="40" ht="22.5" hidden="1" customHeight="1">
      <c r="A40" s="91"/>
      <c r="B40" s="357"/>
      <c r="C40" s="91"/>
      <c r="D40" s="377" t="str">
        <f>D39&amp;".0"</f>
        <v>8.0</v>
      </c>
      <c r="E40" s="394"/>
      <c r="F40" s="379"/>
      <c r="G40" s="395"/>
      <c r="H40" s="367"/>
      <c r="J40" s="350">
        <v>0</v>
      </c>
    </row>
    <row r="41" ht="23.25" customHeight="1">
      <c r="A41" s="91"/>
      <c r="B41" s="91"/>
      <c r="C41" s="396"/>
      <c r="D41" s="377" t="str">
        <f>D39&amp;".1"</f>
        <v>8.1</v>
      </c>
      <c r="E41" s="397"/>
      <c r="F41" s="398"/>
      <c r="G41" s="395"/>
      <c r="H41" s="367"/>
      <c r="J41" s="350">
        <v>22</v>
      </c>
    </row>
    <row r="42" ht="15.75" customHeight="1">
      <c r="A42" s="91"/>
      <c r="B42" s="357"/>
      <c r="C42" s="91"/>
      <c r="D42" s="383"/>
      <c r="E42" s="172" t="s">
        <v>341</v>
      </c>
      <c r="F42" s="385"/>
      <c r="G42" s="399"/>
      <c r="H42" s="400"/>
      <c r="J42" s="350">
        <v>15</v>
      </c>
    </row>
    <row r="43" ht="27.300000000000001" customHeight="1">
      <c r="A43" s="91"/>
      <c r="B43" s="357"/>
      <c r="C43" s="91"/>
      <c r="D43" s="377">
        <f>D39+1</f>
        <v>9</v>
      </c>
      <c r="E43" s="297"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401"/>
      <c r="G43" s="3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7"/>
      <c r="J43" s="350">
        <v>26</v>
      </c>
    </row>
    <row r="44" ht="23.25" customHeight="1">
      <c r="A44" s="91"/>
      <c r="B44" s="357"/>
      <c r="C44" s="91"/>
      <c r="D44" s="377">
        <f t="shared" ref="D44:D45" si="1">D43+1</f>
        <v>10</v>
      </c>
      <c r="E44" s="297"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295"/>
      <c r="G44" s="370" t="s">
        <v>342</v>
      </c>
      <c r="H44" s="367"/>
      <c r="J44" s="350">
        <v>22</v>
      </c>
    </row>
    <row r="45" ht="23.25" customHeight="1">
      <c r="A45" s="91"/>
      <c r="B45" s="357"/>
      <c r="C45" s="91"/>
      <c r="D45" s="377">
        <f t="shared" si="1"/>
        <v>11</v>
      </c>
      <c r="E45" s="297" t="s">
        <v>343</v>
      </c>
      <c r="F45" s="246" t="s">
        <v>308</v>
      </c>
      <c r="G45" s="392" t="str">
        <f>IF(TEMPLATE_SPHERE="TKO","Указывается режим работы организации.","")</f>
        <v/>
      </c>
      <c r="H45" s="367"/>
      <c r="J45" s="350">
        <v>22</v>
      </c>
    </row>
    <row r="46" ht="24" customHeight="1">
      <c r="A46" s="91"/>
      <c r="B46" s="357"/>
      <c r="C46" s="91"/>
      <c r="D46" s="377" t="str">
        <f>D45&amp;".1"</f>
        <v>11.1</v>
      </c>
      <c r="E46" s="371" t="str">
        <f>"режим работы регулируемой организации"&amp;IF(TEMPLATE_SPHERE="HEAT",", ЕТО, ТО","")</f>
        <v xml:space="preserve">режим работы регулируемой организации</v>
      </c>
      <c r="F46" s="402"/>
      <c r="G46" s="392" t="s">
        <v>344</v>
      </c>
      <c r="H46" s="367"/>
      <c r="J46" s="350">
        <v>23</v>
      </c>
    </row>
    <row r="47" ht="24" customHeight="1">
      <c r="A47" s="374"/>
      <c r="B47" s="357"/>
      <c r="C47" s="382"/>
      <c r="D47" s="377" t="str">
        <f>D45&amp;".2"</f>
        <v>11.2</v>
      </c>
      <c r="E47" s="371" t="s">
        <v>345</v>
      </c>
      <c r="F47" s="402"/>
      <c r="G47" s="392" t="s">
        <v>346</v>
      </c>
      <c r="H47" s="367"/>
      <c r="J47" s="350">
        <v>23</v>
      </c>
    </row>
    <row r="48" ht="24" customHeight="1">
      <c r="A48" s="374"/>
      <c r="B48" s="357"/>
      <c r="C48" s="382"/>
      <c r="D48" s="377" t="str">
        <f>D45&amp;".3"</f>
        <v>11.3</v>
      </c>
      <c r="E48" s="371" t="s">
        <v>347</v>
      </c>
      <c r="F48" s="402"/>
      <c r="G48" s="392" t="s">
        <v>348</v>
      </c>
      <c r="H48" s="367"/>
      <c r="J48" s="350">
        <v>23</v>
      </c>
    </row>
    <row r="49" ht="24" customHeight="1">
      <c r="A49" s="374"/>
      <c r="B49" s="357"/>
      <c r="C49" s="382"/>
      <c r="D49" s="377" t="str">
        <f>IF(TEMPLATE_SPHERE="TKO",D45&amp;".0",D45&amp;".4")</f>
        <v>11.4</v>
      </c>
      <c r="E49" s="403" t="s">
        <v>349</v>
      </c>
      <c r="F49" s="404"/>
      <c r="G49" s="405" t="s">
        <v>350</v>
      </c>
      <c r="H49" s="367"/>
      <c r="J49" s="350">
        <v>23</v>
      </c>
    </row>
    <row r="50" ht="24" customHeight="1">
      <c r="A50" s="91"/>
      <c r="B50" s="357"/>
      <c r="C50" s="91"/>
      <c r="D50" s="383"/>
      <c r="E50" s="172" t="s">
        <v>351</v>
      </c>
      <c r="F50" s="384"/>
      <c r="G50" s="405" t="s">
        <v>352</v>
      </c>
      <c r="H50" s="400"/>
      <c r="J50" s="350">
        <v>23</v>
      </c>
    </row>
    <row r="51" ht="24" customHeight="1">
      <c r="A51" s="374"/>
      <c r="B51" s="357"/>
      <c r="C51" s="382"/>
      <c r="D51" s="377">
        <f>D45+1</f>
        <v>12</v>
      </c>
      <c r="E51" s="406" t="s">
        <v>353</v>
      </c>
      <c r="F51" s="402"/>
      <c r="G51" s="4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367"/>
      <c r="J51" s="350">
        <v>23</v>
      </c>
    </row>
    <row r="52" ht="11.5" customHeight="1">
      <c r="A52" s="91"/>
      <c r="B52" s="357"/>
      <c r="C52" s="91"/>
      <c r="J52" s="350">
        <v>11</v>
      </c>
    </row>
    <row r="53" s="408" customFormat="1" ht="31.5" customHeight="1">
      <c r="A53" s="409"/>
      <c r="B53" s="57"/>
      <c r="C53" s="410"/>
      <c r="D53" s="4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411"/>
      <c r="F53" s="411"/>
      <c r="G53" s="411"/>
      <c r="H53" s="180"/>
      <c r="I53" s="180"/>
      <c r="J53" s="408">
        <v>30</v>
      </c>
    </row>
    <row r="54" s="408" customFormat="1" ht="42" customHeight="1">
      <c r="A54" s="91"/>
      <c r="B54" s="357"/>
      <c r="C54" s="410"/>
      <c r="D54" s="411" t="str">
        <f>IF(ORG_INFO_P_NOTE_MAIN=0,"",ORG_INFO_P_NOTE_MAIN)</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411"/>
      <c r="F54" s="411"/>
      <c r="G54" s="411"/>
      <c r="J54" s="408">
        <v>40</v>
      </c>
    </row>
    <row r="55" ht="11.5" customHeight="1">
      <c r="D55" s="412"/>
      <c r="E55" s="413"/>
      <c r="F55" s="413"/>
      <c r="G55" s="413"/>
      <c r="J55" s="350">
        <v>11</v>
      </c>
    </row>
    <row r="56" ht="28.5" customHeight="1">
      <c r="D56" s="414"/>
      <c r="E56" s="412"/>
      <c r="F56" s="415"/>
      <c r="G56" s="415"/>
      <c r="J56" s="350">
        <v>27</v>
      </c>
    </row>
    <row r="57" ht="11.5" customHeight="1">
      <c r="D57" s="412"/>
      <c r="E57" s="412"/>
      <c r="F57" s="413"/>
      <c r="G57" s="413"/>
      <c r="J57" s="350">
        <v>11</v>
      </c>
    </row>
    <row r="58" ht="40.899999999999999" customHeight="1">
      <c r="D58" s="416"/>
      <c r="E58" s="417"/>
      <c r="F58" s="417"/>
      <c r="G58" s="417"/>
      <c r="J58" s="350">
        <v>39</v>
      </c>
    </row>
    <row r="59" ht="28.5" customHeight="1">
      <c r="D59" s="416"/>
      <c r="E59" s="417"/>
      <c r="F59" s="417"/>
      <c r="G59" s="417"/>
      <c r="J59" s="350">
        <v>27</v>
      </c>
    </row>
    <row r="60" ht="11.25" hidden="1" customHeight="1">
      <c r="A60" s="348" t="s">
        <v>82</v>
      </c>
      <c r="B60" s="349">
        <v>0</v>
      </c>
      <c r="C60" s="350">
        <v>3</v>
      </c>
      <c r="D60" s="351">
        <v>6</v>
      </c>
      <c r="E60" s="350">
        <v>52</v>
      </c>
      <c r="F60" s="350">
        <v>48</v>
      </c>
      <c r="G60" s="350">
        <v>121</v>
      </c>
      <c r="H60" s="350">
        <v>8</v>
      </c>
      <c r="I60" s="350">
        <v>64</v>
      </c>
      <c r="J60" s="350">
        <v>11</v>
      </c>
    </row>
  </sheetData>
  <sheetProtection autoFilter="0" deleteColumns="0" deleteRows="0" formatCells="1" formatColumns="0" formatRows="0" insertColumns="1" insertHyperlinks="1" insertRows="0" pivotTables="1" selectLockedCells="0" selectUnlockedCells="0" sheet="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A0066-00FC-4DC0-9DC7-007C0033005E}"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 xr:uid="{0027003F-001B-43CE-8027-00F00039005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3" width="10.57421875"/>
    <col customWidth="1" min="2" max="2" style="183" width="8.7109375"/>
    <col customWidth="1" min="3" max="3" style="183" width="18.140625"/>
    <col customWidth="1" min="4" max="4" style="183" width="12.57421875"/>
  </cols>
  <sheetData>
    <row r="1" ht="11.25" customHeight="1">
      <c r="A1" s="1426" t="s">
        <v>2243</v>
      </c>
      <c r="B1" s="1427" t="s">
        <v>2244</v>
      </c>
      <c r="C1" s="1428" t="s">
        <v>2245</v>
      </c>
      <c r="D1" s="1429"/>
      <c r="E1" s="274" t="s">
        <v>2246</v>
      </c>
    </row>
    <row r="2" ht="11.25" customHeight="1">
      <c r="A2" s="1430"/>
      <c r="B2" s="1431" t="s">
        <v>26</v>
      </c>
      <c r="C2" s="274"/>
      <c r="D2" s="1078"/>
      <c r="E2" s="274"/>
    </row>
    <row r="3" ht="11.25" customHeight="1">
      <c r="A3" s="1432"/>
      <c r="B3" s="1433" t="s">
        <v>33</v>
      </c>
      <c r="C3" s="274"/>
      <c r="D3" s="1078"/>
      <c r="E3" s="274"/>
    </row>
    <row r="4" ht="11.25" customHeight="1">
      <c r="A4" s="1434"/>
      <c r="B4" s="1435" t="s">
        <v>1670</v>
      </c>
      <c r="C4" s="274"/>
      <c r="D4" s="1078"/>
      <c r="E4" s="274"/>
    </row>
    <row r="5" ht="11.25" customHeight="1">
      <c r="A5" s="1436"/>
      <c r="B5" s="1435" t="s">
        <v>1664</v>
      </c>
      <c r="C5" s="1437" t="s">
        <v>2010</v>
      </c>
      <c r="D5" s="1438" t="s">
        <v>2247</v>
      </c>
      <c r="E5" s="274"/>
    </row>
    <row r="6" s="63" customFormat="1" ht="11.25" customHeight="1">
      <c r="A6" s="1439"/>
      <c r="B6" s="1435" t="s">
        <v>1674</v>
      </c>
      <c r="C6" s="274"/>
      <c r="D6" s="1078"/>
      <c r="E6" s="274"/>
    </row>
    <row r="7" ht="11.25" customHeight="1">
      <c r="A7" s="1440"/>
      <c r="B7" s="1435" t="s">
        <v>1681</v>
      </c>
      <c r="C7" s="274"/>
      <c r="D7" s="1078"/>
      <c r="E7" s="274"/>
    </row>
    <row r="8" ht="11.25" customHeight="1">
      <c r="A8" s="1441"/>
      <c r="B8" s="1435" t="s">
        <v>1677</v>
      </c>
      <c r="C8" s="274"/>
      <c r="D8" s="1078"/>
      <c r="E8" s="274"/>
    </row>
  </sheetData>
  <sheetProtection autoFilter="0" deleteColumns="0" deleteRows="0" formatCells="1" formatColumns="0" formatRows="0" insertColumns="1" insertHyperlinks="1" insertRows="0" pivotTables="1" selectLockedCells="0" selectUnlockedCells="0" sheet="0" sort="0"/>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2248</v>
      </c>
      <c r="B1" s="63" t="s">
        <v>2249</v>
      </c>
      <c r="C1" s="63" t="s">
        <v>2250</v>
      </c>
      <c r="D1" s="63" t="s">
        <v>2251</v>
      </c>
      <c r="E1" s="63" t="s">
        <v>2252</v>
      </c>
      <c r="F1" s="63" t="s">
        <v>2253</v>
      </c>
      <c r="G1" s="63" t="s">
        <v>2254</v>
      </c>
      <c r="H1" s="63" t="s">
        <v>2255</v>
      </c>
      <c r="I1" s="63" t="s">
        <v>2256</v>
      </c>
    </row>
    <row r="2" ht="11.25" customHeight="1">
      <c r="A2" s="63" t="s">
        <v>2257</v>
      </c>
      <c r="B2" s="63" t="s">
        <v>16</v>
      </c>
      <c r="C2" s="63" t="s">
        <v>2258</v>
      </c>
      <c r="D2" s="63" t="s">
        <v>2259</v>
      </c>
      <c r="E2" s="63" t="s">
        <v>2260</v>
      </c>
      <c r="F2" s="63" t="s">
        <v>2261</v>
      </c>
      <c r="G2" s="63" t="s">
        <v>28</v>
      </c>
      <c r="H2" s="63" t="s">
        <v>28</v>
      </c>
      <c r="I2" s="63" t="s">
        <v>809</v>
      </c>
    </row>
    <row r="3" ht="11.25" customHeight="1">
      <c r="A3" s="63" t="s">
        <v>2257</v>
      </c>
      <c r="B3" s="63" t="s">
        <v>16</v>
      </c>
      <c r="C3" s="63" t="s">
        <v>2262</v>
      </c>
      <c r="D3" s="63" t="s">
        <v>2263</v>
      </c>
      <c r="E3" s="63" t="s">
        <v>2264</v>
      </c>
      <c r="F3" s="63" t="s">
        <v>2265</v>
      </c>
      <c r="G3" s="63" t="s">
        <v>2266</v>
      </c>
      <c r="H3" s="63" t="s">
        <v>28</v>
      </c>
      <c r="I3" s="63" t="s">
        <v>809</v>
      </c>
    </row>
    <row r="4" ht="11.25" customHeight="1">
      <c r="A4" s="63" t="s">
        <v>2257</v>
      </c>
      <c r="B4" s="63" t="s">
        <v>16</v>
      </c>
      <c r="C4" s="63" t="s">
        <v>2267</v>
      </c>
      <c r="D4" s="63" t="s">
        <v>2268</v>
      </c>
      <c r="E4" s="63" t="s">
        <v>2269</v>
      </c>
      <c r="F4" s="63" t="s">
        <v>2270</v>
      </c>
      <c r="G4" s="63" t="s">
        <v>2271</v>
      </c>
      <c r="H4" s="63" t="s">
        <v>28</v>
      </c>
      <c r="I4" s="63" t="s">
        <v>809</v>
      </c>
    </row>
    <row r="5" ht="11.25" customHeight="1">
      <c r="A5" s="63" t="s">
        <v>2257</v>
      </c>
      <c r="B5" s="63" t="s">
        <v>16</v>
      </c>
      <c r="C5" s="63" t="s">
        <v>2272</v>
      </c>
      <c r="D5" s="63" t="s">
        <v>2273</v>
      </c>
      <c r="E5" s="63" t="s">
        <v>2274</v>
      </c>
      <c r="F5" s="63" t="s">
        <v>2275</v>
      </c>
      <c r="G5" s="63" t="s">
        <v>28</v>
      </c>
      <c r="H5" s="63" t="s">
        <v>28</v>
      </c>
      <c r="I5" s="63" t="s">
        <v>809</v>
      </c>
    </row>
    <row r="6" ht="11.25" customHeight="1">
      <c r="A6" s="63" t="s">
        <v>2257</v>
      </c>
      <c r="B6" s="63" t="s">
        <v>16</v>
      </c>
      <c r="C6" s="63" t="s">
        <v>2276</v>
      </c>
      <c r="D6" s="63" t="s">
        <v>2277</v>
      </c>
      <c r="E6" s="63" t="s">
        <v>2278</v>
      </c>
      <c r="F6" s="63" t="s">
        <v>2279</v>
      </c>
      <c r="G6" s="63" t="s">
        <v>2280</v>
      </c>
      <c r="H6" s="63" t="s">
        <v>28</v>
      </c>
      <c r="I6" s="63" t="s">
        <v>809</v>
      </c>
    </row>
    <row r="7" ht="11.25" customHeight="1">
      <c r="A7" s="63" t="s">
        <v>2257</v>
      </c>
      <c r="B7" s="63" t="s">
        <v>16</v>
      </c>
      <c r="C7" s="63" t="s">
        <v>2281</v>
      </c>
      <c r="D7" s="63" t="s">
        <v>2282</v>
      </c>
      <c r="E7" s="63" t="s">
        <v>2283</v>
      </c>
      <c r="F7" s="63" t="s">
        <v>2284</v>
      </c>
      <c r="G7" s="63" t="s">
        <v>28</v>
      </c>
      <c r="H7" s="63" t="s">
        <v>28</v>
      </c>
      <c r="I7" s="63" t="s">
        <v>809</v>
      </c>
    </row>
    <row r="8" ht="11.25" customHeight="1">
      <c r="A8" s="63" t="s">
        <v>2257</v>
      </c>
      <c r="B8" s="63" t="s">
        <v>16</v>
      </c>
      <c r="C8" s="63" t="s">
        <v>2285</v>
      </c>
      <c r="D8" s="63" t="s">
        <v>2286</v>
      </c>
      <c r="E8" s="63" t="s">
        <v>2287</v>
      </c>
      <c r="F8" s="63" t="s">
        <v>2288</v>
      </c>
      <c r="G8" s="63" t="s">
        <v>2289</v>
      </c>
      <c r="H8" s="63" t="s">
        <v>28</v>
      </c>
      <c r="I8" s="63" t="s">
        <v>809</v>
      </c>
    </row>
    <row r="9" ht="11.25" customHeight="1">
      <c r="A9" s="63" t="s">
        <v>2257</v>
      </c>
      <c r="B9" s="63" t="s">
        <v>16</v>
      </c>
      <c r="C9" s="63" t="s">
        <v>2290</v>
      </c>
      <c r="D9" s="63" t="s">
        <v>2291</v>
      </c>
      <c r="E9" s="63" t="s">
        <v>2292</v>
      </c>
      <c r="F9" s="63" t="s">
        <v>2293</v>
      </c>
      <c r="G9" s="63" t="s">
        <v>2294</v>
      </c>
      <c r="H9" s="63" t="s">
        <v>28</v>
      </c>
      <c r="I9" s="63" t="s">
        <v>809</v>
      </c>
    </row>
    <row r="10" ht="11.25" customHeight="1">
      <c r="A10" s="63" t="s">
        <v>2257</v>
      </c>
      <c r="B10" s="63" t="s">
        <v>16</v>
      </c>
      <c r="C10" s="63" t="s">
        <v>2295</v>
      </c>
      <c r="D10" s="63" t="s">
        <v>2296</v>
      </c>
      <c r="E10" s="63" t="s">
        <v>2297</v>
      </c>
      <c r="F10" s="63" t="s">
        <v>2298</v>
      </c>
      <c r="G10" s="63" t="s">
        <v>28</v>
      </c>
      <c r="H10" s="63" t="s">
        <v>28</v>
      </c>
      <c r="I10" s="63" t="s">
        <v>809</v>
      </c>
    </row>
    <row r="11" ht="11.25" customHeight="1">
      <c r="A11" s="63" t="s">
        <v>2257</v>
      </c>
      <c r="B11" s="63" t="s">
        <v>16</v>
      </c>
      <c r="C11" s="63" t="s">
        <v>2299</v>
      </c>
      <c r="D11" s="63" t="s">
        <v>2300</v>
      </c>
      <c r="E11" s="63" t="s">
        <v>2301</v>
      </c>
      <c r="F11" s="63" t="s">
        <v>2302</v>
      </c>
      <c r="G11" s="63" t="s">
        <v>28</v>
      </c>
      <c r="H11" s="63" t="s">
        <v>28</v>
      </c>
      <c r="I11" s="63" t="s">
        <v>809</v>
      </c>
    </row>
    <row r="12" ht="11.25" customHeight="1">
      <c r="A12" s="63" t="s">
        <v>2257</v>
      </c>
      <c r="B12" s="63" t="s">
        <v>16</v>
      </c>
      <c r="C12" s="63" t="s">
        <v>2303</v>
      </c>
      <c r="D12" s="63" t="s">
        <v>2304</v>
      </c>
      <c r="E12" s="63" t="s">
        <v>2305</v>
      </c>
      <c r="F12" s="63" t="s">
        <v>2306</v>
      </c>
      <c r="G12" s="63" t="s">
        <v>2307</v>
      </c>
      <c r="H12" s="63" t="s">
        <v>28</v>
      </c>
      <c r="I12" s="63" t="s">
        <v>809</v>
      </c>
    </row>
    <row r="13" ht="11.25" customHeight="1">
      <c r="A13" s="63" t="s">
        <v>2257</v>
      </c>
      <c r="B13" s="63" t="s">
        <v>16</v>
      </c>
      <c r="C13" s="63" t="s">
        <v>2308</v>
      </c>
      <c r="D13" s="63" t="s">
        <v>2309</v>
      </c>
      <c r="E13" s="63" t="s">
        <v>2310</v>
      </c>
      <c r="F13" s="63" t="s">
        <v>2265</v>
      </c>
      <c r="G13" s="63" t="s">
        <v>2311</v>
      </c>
      <c r="H13" s="63" t="s">
        <v>28</v>
      </c>
      <c r="I13" s="63" t="s">
        <v>809</v>
      </c>
    </row>
    <row r="14" ht="11.25" customHeight="1">
      <c r="A14" s="63" t="s">
        <v>2257</v>
      </c>
      <c r="B14" s="63" t="s">
        <v>16</v>
      </c>
      <c r="C14" s="63" t="s">
        <v>2312</v>
      </c>
      <c r="D14" s="63" t="s">
        <v>2313</v>
      </c>
      <c r="E14" s="63" t="s">
        <v>2314</v>
      </c>
      <c r="F14" s="63" t="s">
        <v>2315</v>
      </c>
      <c r="G14" s="63" t="s">
        <v>28</v>
      </c>
      <c r="H14" s="63" t="s">
        <v>28</v>
      </c>
      <c r="I14" s="63" t="s">
        <v>809</v>
      </c>
    </row>
    <row r="15" ht="11.25" customHeight="1">
      <c r="A15" s="63" t="s">
        <v>2257</v>
      </c>
      <c r="B15" s="63" t="s">
        <v>16</v>
      </c>
      <c r="C15" s="63" t="s">
        <v>2316</v>
      </c>
      <c r="D15" s="63" t="s">
        <v>2317</v>
      </c>
      <c r="E15" s="63" t="s">
        <v>2318</v>
      </c>
      <c r="F15" s="63" t="s">
        <v>2315</v>
      </c>
      <c r="G15" s="63" t="s">
        <v>28</v>
      </c>
      <c r="H15" s="63" t="s">
        <v>28</v>
      </c>
      <c r="I15" s="63" t="s">
        <v>809</v>
      </c>
    </row>
    <row r="16" ht="11.25" customHeight="1">
      <c r="A16" s="63" t="s">
        <v>2257</v>
      </c>
      <c r="B16" s="63" t="s">
        <v>16</v>
      </c>
      <c r="C16" s="63" t="s">
        <v>2319</v>
      </c>
      <c r="D16" s="63" t="s">
        <v>2320</v>
      </c>
      <c r="E16" s="63" t="s">
        <v>2321</v>
      </c>
      <c r="F16" s="63" t="s">
        <v>2322</v>
      </c>
      <c r="G16" s="63" t="s">
        <v>28</v>
      </c>
      <c r="H16" s="63" t="s">
        <v>28</v>
      </c>
      <c r="I16" s="63" t="s">
        <v>809</v>
      </c>
    </row>
    <row r="17" ht="11.25" customHeight="1">
      <c r="A17" s="63" t="s">
        <v>2257</v>
      </c>
      <c r="B17" s="63" t="s">
        <v>16</v>
      </c>
      <c r="C17" s="63" t="s">
        <v>2323</v>
      </c>
      <c r="D17" s="63" t="s">
        <v>2324</v>
      </c>
      <c r="E17" s="63" t="s">
        <v>2325</v>
      </c>
      <c r="F17" s="63" t="s">
        <v>2326</v>
      </c>
      <c r="G17" s="63" t="s">
        <v>28</v>
      </c>
      <c r="H17" s="63" t="s">
        <v>28</v>
      </c>
      <c r="I17" s="63" t="s">
        <v>809</v>
      </c>
    </row>
    <row r="18" ht="11.25" customHeight="1">
      <c r="A18" s="63" t="s">
        <v>2257</v>
      </c>
      <c r="B18" s="63" t="s">
        <v>16</v>
      </c>
      <c r="C18" s="63" t="s">
        <v>2327</v>
      </c>
      <c r="D18" s="63" t="s">
        <v>2328</v>
      </c>
      <c r="E18" s="63" t="s">
        <v>2329</v>
      </c>
      <c r="F18" s="63" t="s">
        <v>2330</v>
      </c>
      <c r="G18" s="63" t="s">
        <v>2331</v>
      </c>
      <c r="H18" s="63" t="s">
        <v>28</v>
      </c>
      <c r="I18" s="63" t="s">
        <v>809</v>
      </c>
    </row>
    <row r="19" ht="11.25" customHeight="1">
      <c r="A19" s="63" t="s">
        <v>2257</v>
      </c>
      <c r="B19" s="63" t="s">
        <v>16</v>
      </c>
      <c r="C19" s="63" t="s">
        <v>2332</v>
      </c>
      <c r="D19" s="63" t="s">
        <v>2333</v>
      </c>
      <c r="E19" s="63" t="s">
        <v>2334</v>
      </c>
      <c r="F19" s="63" t="s">
        <v>2330</v>
      </c>
      <c r="G19" s="63" t="s">
        <v>2335</v>
      </c>
      <c r="H19" s="63" t="s">
        <v>28</v>
      </c>
      <c r="I19" s="63" t="s">
        <v>809</v>
      </c>
    </row>
    <row r="20" ht="11.25" customHeight="1">
      <c r="A20" s="63" t="s">
        <v>2257</v>
      </c>
      <c r="B20" s="63" t="s">
        <v>16</v>
      </c>
      <c r="C20" s="63" t="s">
        <v>2336</v>
      </c>
      <c r="D20" s="63" t="s">
        <v>2337</v>
      </c>
      <c r="E20" s="63" t="s">
        <v>2338</v>
      </c>
      <c r="F20" s="63" t="s">
        <v>2339</v>
      </c>
      <c r="G20" s="63" t="s">
        <v>2340</v>
      </c>
      <c r="H20" s="63" t="s">
        <v>28</v>
      </c>
      <c r="I20" s="63" t="s">
        <v>809</v>
      </c>
    </row>
    <row r="21" ht="11.25" customHeight="1">
      <c r="A21" s="63" t="s">
        <v>2257</v>
      </c>
      <c r="B21" s="63" t="s">
        <v>16</v>
      </c>
      <c r="C21" s="63" t="s">
        <v>2341</v>
      </c>
      <c r="D21" s="63" t="s">
        <v>2342</v>
      </c>
      <c r="E21" s="63" t="s">
        <v>2343</v>
      </c>
      <c r="F21" s="63" t="s">
        <v>2306</v>
      </c>
      <c r="G21" s="63" t="s">
        <v>28</v>
      </c>
      <c r="H21" s="63" t="s">
        <v>28</v>
      </c>
      <c r="I21" s="63" t="s">
        <v>809</v>
      </c>
    </row>
    <row r="22" ht="11.25" customHeight="1">
      <c r="A22" s="63" t="s">
        <v>2257</v>
      </c>
      <c r="B22" s="63" t="s">
        <v>16</v>
      </c>
      <c r="C22" s="63" t="s">
        <v>2344</v>
      </c>
      <c r="D22" s="63" t="s">
        <v>2345</v>
      </c>
      <c r="E22" s="63" t="s">
        <v>2346</v>
      </c>
      <c r="F22" s="63" t="s">
        <v>2279</v>
      </c>
      <c r="G22" s="63" t="s">
        <v>2347</v>
      </c>
      <c r="H22" s="63" t="s">
        <v>28</v>
      </c>
      <c r="I22" s="63" t="s">
        <v>809</v>
      </c>
    </row>
    <row r="23" ht="11.25" customHeight="1">
      <c r="A23" s="63" t="s">
        <v>2257</v>
      </c>
      <c r="B23" s="63" t="s">
        <v>16</v>
      </c>
      <c r="C23" s="63" t="s">
        <v>2348</v>
      </c>
      <c r="D23" s="63" t="s">
        <v>2349</v>
      </c>
      <c r="E23" s="63" t="s">
        <v>2350</v>
      </c>
      <c r="F23" s="63" t="s">
        <v>2322</v>
      </c>
      <c r="G23" s="63" t="s">
        <v>28</v>
      </c>
      <c r="H23" s="63" t="s">
        <v>28</v>
      </c>
      <c r="I23" s="63" t="s">
        <v>809</v>
      </c>
    </row>
    <row r="24" ht="11.25" customHeight="1">
      <c r="A24" s="63" t="s">
        <v>2257</v>
      </c>
      <c r="B24" s="63" t="s">
        <v>16</v>
      </c>
      <c r="C24" s="63" t="s">
        <v>2351</v>
      </c>
      <c r="D24" s="63" t="s">
        <v>2352</v>
      </c>
      <c r="E24" s="63" t="s">
        <v>2353</v>
      </c>
      <c r="F24" s="63" t="s">
        <v>2354</v>
      </c>
      <c r="G24" s="63" t="s">
        <v>2355</v>
      </c>
      <c r="H24" s="63" t="s">
        <v>28</v>
      </c>
      <c r="I24" s="63" t="s">
        <v>809</v>
      </c>
    </row>
    <row r="25" ht="11.25" customHeight="1">
      <c r="A25" s="63" t="s">
        <v>2257</v>
      </c>
      <c r="B25" s="63" t="s">
        <v>16</v>
      </c>
      <c r="C25" s="63" t="s">
        <v>2356</v>
      </c>
      <c r="D25" s="63" t="s">
        <v>2357</v>
      </c>
      <c r="E25" s="63" t="s">
        <v>2358</v>
      </c>
      <c r="F25" s="63" t="s">
        <v>2359</v>
      </c>
      <c r="G25" s="63" t="s">
        <v>2360</v>
      </c>
      <c r="H25" s="63" t="s">
        <v>28</v>
      </c>
      <c r="I25" s="63" t="s">
        <v>809</v>
      </c>
    </row>
    <row r="26" ht="11.25" customHeight="1">
      <c r="A26" s="63" t="s">
        <v>2257</v>
      </c>
      <c r="B26" s="63" t="s">
        <v>16</v>
      </c>
      <c r="C26" s="63" t="s">
        <v>2361</v>
      </c>
      <c r="D26" s="63" t="s">
        <v>2362</v>
      </c>
      <c r="E26" s="63" t="s">
        <v>2363</v>
      </c>
      <c r="F26" s="63" t="s">
        <v>2364</v>
      </c>
      <c r="G26" s="63" t="s">
        <v>2365</v>
      </c>
      <c r="H26" s="63" t="s">
        <v>28</v>
      </c>
      <c r="I26" s="63" t="s">
        <v>809</v>
      </c>
    </row>
    <row r="27" ht="11.25" customHeight="1">
      <c r="A27" s="63" t="s">
        <v>2257</v>
      </c>
      <c r="B27" s="63" t="s">
        <v>16</v>
      </c>
      <c r="C27" s="63" t="s">
        <v>2366</v>
      </c>
      <c r="D27" s="63" t="s">
        <v>2367</v>
      </c>
      <c r="E27" s="63" t="s">
        <v>2368</v>
      </c>
      <c r="F27" s="63" t="s">
        <v>2322</v>
      </c>
      <c r="G27" s="63" t="s">
        <v>28</v>
      </c>
      <c r="H27" s="63" t="s">
        <v>28</v>
      </c>
      <c r="I27" s="63" t="s">
        <v>809</v>
      </c>
    </row>
    <row r="28" ht="11.25" customHeight="1">
      <c r="A28" s="63" t="s">
        <v>2257</v>
      </c>
      <c r="B28" s="63" t="s">
        <v>16</v>
      </c>
      <c r="C28" s="63" t="s">
        <v>2369</v>
      </c>
      <c r="D28" s="63" t="s">
        <v>2370</v>
      </c>
      <c r="E28" s="63" t="s">
        <v>2371</v>
      </c>
      <c r="F28" s="63" t="s">
        <v>2322</v>
      </c>
      <c r="G28" s="63" t="s">
        <v>28</v>
      </c>
      <c r="H28" s="63" t="s">
        <v>28</v>
      </c>
      <c r="I28" s="63" t="s">
        <v>809</v>
      </c>
    </row>
    <row r="29" ht="11.25" customHeight="1">
      <c r="A29" s="63" t="s">
        <v>2257</v>
      </c>
      <c r="B29" s="63" t="s">
        <v>16</v>
      </c>
      <c r="C29" s="63" t="s">
        <v>2372</v>
      </c>
      <c r="D29" s="63" t="s">
        <v>2373</v>
      </c>
      <c r="E29" s="63" t="s">
        <v>2374</v>
      </c>
      <c r="F29" s="63" t="s">
        <v>2375</v>
      </c>
      <c r="G29" s="63" t="s">
        <v>28</v>
      </c>
      <c r="H29" s="63" t="s">
        <v>28</v>
      </c>
      <c r="I29" s="63" t="s">
        <v>809</v>
      </c>
    </row>
    <row r="30" ht="11.25" customHeight="1">
      <c r="A30" s="63" t="s">
        <v>2257</v>
      </c>
      <c r="B30" s="63" t="s">
        <v>16</v>
      </c>
      <c r="C30" s="63" t="s">
        <v>2376</v>
      </c>
      <c r="D30" s="63" t="s">
        <v>2377</v>
      </c>
      <c r="E30" s="63" t="s">
        <v>2378</v>
      </c>
      <c r="F30" s="63" t="s">
        <v>2379</v>
      </c>
      <c r="G30" s="63" t="s">
        <v>28</v>
      </c>
      <c r="H30" s="63" t="s">
        <v>28</v>
      </c>
      <c r="I30" s="63" t="s">
        <v>809</v>
      </c>
    </row>
    <row r="31" ht="11.25" customHeight="1">
      <c r="A31" s="63" t="s">
        <v>2257</v>
      </c>
      <c r="B31" s="63" t="s">
        <v>16</v>
      </c>
      <c r="C31" s="63" t="s">
        <v>2380</v>
      </c>
      <c r="D31" s="63" t="s">
        <v>2381</v>
      </c>
      <c r="E31" s="63" t="s">
        <v>2382</v>
      </c>
      <c r="F31" s="63" t="s">
        <v>2383</v>
      </c>
      <c r="G31" s="63" t="s">
        <v>28</v>
      </c>
      <c r="H31" s="63" t="s">
        <v>28</v>
      </c>
      <c r="I31" s="63" t="s">
        <v>809</v>
      </c>
    </row>
    <row r="32" ht="11.25" customHeight="1">
      <c r="A32" s="63" t="s">
        <v>2257</v>
      </c>
      <c r="B32" s="63" t="s">
        <v>16</v>
      </c>
      <c r="C32" s="63" t="s">
        <v>2384</v>
      </c>
      <c r="D32" s="63" t="s">
        <v>2385</v>
      </c>
      <c r="E32" s="63" t="s">
        <v>2386</v>
      </c>
      <c r="F32" s="63" t="s">
        <v>2387</v>
      </c>
      <c r="G32" s="63" t="s">
        <v>28</v>
      </c>
      <c r="H32" s="63" t="s">
        <v>28</v>
      </c>
      <c r="I32" s="63" t="s">
        <v>809</v>
      </c>
    </row>
    <row r="33" ht="11.25" customHeight="1">
      <c r="A33" s="63" t="s">
        <v>2257</v>
      </c>
      <c r="B33" s="63" t="s">
        <v>16</v>
      </c>
      <c r="C33" s="63" t="s">
        <v>2388</v>
      </c>
      <c r="D33" s="63" t="s">
        <v>2389</v>
      </c>
      <c r="E33" s="63" t="s">
        <v>2390</v>
      </c>
      <c r="F33" s="63" t="s">
        <v>2391</v>
      </c>
      <c r="G33" s="63" t="s">
        <v>28</v>
      </c>
      <c r="H33" s="63" t="s">
        <v>28</v>
      </c>
      <c r="I33" s="63" t="s">
        <v>809</v>
      </c>
    </row>
    <row r="34" ht="11.25" customHeight="1">
      <c r="A34" s="63" t="s">
        <v>2257</v>
      </c>
      <c r="B34" s="63" t="s">
        <v>16</v>
      </c>
      <c r="C34" s="63" t="s">
        <v>2392</v>
      </c>
      <c r="D34" s="63" t="s">
        <v>2393</v>
      </c>
      <c r="E34" s="63" t="s">
        <v>2394</v>
      </c>
      <c r="F34" s="63" t="s">
        <v>2395</v>
      </c>
      <c r="G34" s="63" t="s">
        <v>2396</v>
      </c>
      <c r="H34" s="63" t="s">
        <v>28</v>
      </c>
      <c r="I34" s="63" t="s">
        <v>809</v>
      </c>
    </row>
    <row r="35" ht="11.25" customHeight="1">
      <c r="A35" s="63" t="s">
        <v>2257</v>
      </c>
      <c r="B35" s="63" t="s">
        <v>16</v>
      </c>
      <c r="C35" s="63" t="s">
        <v>2397</v>
      </c>
      <c r="D35" s="63" t="s">
        <v>2398</v>
      </c>
      <c r="E35" s="63" t="s">
        <v>2399</v>
      </c>
      <c r="F35" s="63" t="s">
        <v>2293</v>
      </c>
      <c r="G35" s="63" t="s">
        <v>28</v>
      </c>
      <c r="H35" s="63" t="s">
        <v>28</v>
      </c>
      <c r="I35" s="63" t="s">
        <v>809</v>
      </c>
    </row>
    <row r="36" ht="11.25" customHeight="1">
      <c r="A36" s="63" t="s">
        <v>2257</v>
      </c>
      <c r="B36" s="63" t="s">
        <v>16</v>
      </c>
      <c r="C36" s="63" t="s">
        <v>2400</v>
      </c>
      <c r="D36" s="63" t="s">
        <v>2401</v>
      </c>
      <c r="E36" s="63" t="s">
        <v>2402</v>
      </c>
      <c r="F36" s="63" t="s">
        <v>2403</v>
      </c>
      <c r="G36" s="63" t="s">
        <v>28</v>
      </c>
      <c r="H36" s="63" t="s">
        <v>28</v>
      </c>
      <c r="I36" s="63" t="s">
        <v>809</v>
      </c>
    </row>
    <row r="37" ht="11.25" customHeight="1">
      <c r="A37" s="63" t="s">
        <v>2257</v>
      </c>
      <c r="B37" s="63" t="s">
        <v>16</v>
      </c>
      <c r="C37" s="63" t="s">
        <v>2404</v>
      </c>
      <c r="D37" s="63" t="s">
        <v>2405</v>
      </c>
      <c r="E37" s="63" t="s">
        <v>2406</v>
      </c>
      <c r="F37" s="63" t="s">
        <v>2407</v>
      </c>
      <c r="G37" s="63" t="s">
        <v>2408</v>
      </c>
      <c r="H37" s="63" t="s">
        <v>28</v>
      </c>
      <c r="I37" s="63" t="s">
        <v>809</v>
      </c>
    </row>
    <row r="38" ht="11.25" customHeight="1">
      <c r="A38" s="63" t="s">
        <v>2257</v>
      </c>
      <c r="B38" s="63" t="s">
        <v>16</v>
      </c>
      <c r="C38" s="63" t="s">
        <v>2409</v>
      </c>
      <c r="D38" s="63" t="s">
        <v>2410</v>
      </c>
      <c r="E38" s="63" t="s">
        <v>2411</v>
      </c>
      <c r="F38" s="63" t="s">
        <v>2298</v>
      </c>
      <c r="G38" s="63" t="s">
        <v>2412</v>
      </c>
      <c r="H38" s="63" t="s">
        <v>28</v>
      </c>
      <c r="I38" s="63" t="s">
        <v>809</v>
      </c>
    </row>
    <row r="39" ht="11.25" customHeight="1">
      <c r="A39" s="63" t="s">
        <v>2257</v>
      </c>
      <c r="B39" s="63" t="s">
        <v>16</v>
      </c>
      <c r="C39" s="63" t="s">
        <v>2413</v>
      </c>
      <c r="D39" s="63" t="s">
        <v>2414</v>
      </c>
      <c r="E39" s="63" t="s">
        <v>2415</v>
      </c>
      <c r="F39" s="63" t="s">
        <v>577</v>
      </c>
      <c r="G39" s="63" t="s">
        <v>28</v>
      </c>
      <c r="H39" s="63" t="s">
        <v>28</v>
      </c>
      <c r="I39" s="63" t="s">
        <v>809</v>
      </c>
    </row>
    <row r="40" ht="11.25" customHeight="1">
      <c r="A40" s="63" t="s">
        <v>2257</v>
      </c>
      <c r="B40" s="63" t="s">
        <v>16</v>
      </c>
      <c r="C40" s="63" t="s">
        <v>2416</v>
      </c>
      <c r="D40" s="63" t="s">
        <v>2417</v>
      </c>
      <c r="E40" s="63" t="s">
        <v>2418</v>
      </c>
      <c r="F40" s="63" t="s">
        <v>577</v>
      </c>
      <c r="G40" s="63" t="s">
        <v>2419</v>
      </c>
      <c r="H40" s="63" t="s">
        <v>28</v>
      </c>
      <c r="I40" s="63" t="s">
        <v>809</v>
      </c>
    </row>
    <row r="41" ht="11.25" customHeight="1">
      <c r="A41" s="63" t="s">
        <v>2257</v>
      </c>
      <c r="B41" s="63" t="s">
        <v>16</v>
      </c>
      <c r="C41" s="63" t="s">
        <v>2420</v>
      </c>
      <c r="D41" s="63" t="s">
        <v>2421</v>
      </c>
      <c r="E41" s="63" t="s">
        <v>2422</v>
      </c>
      <c r="F41" s="63" t="s">
        <v>577</v>
      </c>
      <c r="G41" s="63" t="s">
        <v>28</v>
      </c>
      <c r="H41" s="63" t="s">
        <v>28</v>
      </c>
      <c r="I41" s="63" t="s">
        <v>809</v>
      </c>
    </row>
    <row r="42" ht="11.25" customHeight="1">
      <c r="A42" s="63" t="s">
        <v>2257</v>
      </c>
      <c r="B42" s="63" t="s">
        <v>16</v>
      </c>
      <c r="C42" s="63" t="s">
        <v>2423</v>
      </c>
      <c r="D42" s="63" t="s">
        <v>2424</v>
      </c>
      <c r="E42" s="63" t="s">
        <v>2425</v>
      </c>
      <c r="F42" s="63" t="s">
        <v>577</v>
      </c>
      <c r="G42" s="63" t="s">
        <v>28</v>
      </c>
      <c r="H42" s="63" t="s">
        <v>28</v>
      </c>
      <c r="I42" s="63" t="s">
        <v>809</v>
      </c>
    </row>
    <row r="43" ht="11.25" customHeight="1">
      <c r="A43" s="63" t="s">
        <v>2257</v>
      </c>
      <c r="B43" s="63" t="s">
        <v>16</v>
      </c>
      <c r="C43" s="63" t="s">
        <v>2426</v>
      </c>
      <c r="D43" s="63" t="s">
        <v>2427</v>
      </c>
      <c r="E43" s="63" t="s">
        <v>2428</v>
      </c>
      <c r="F43" s="63" t="s">
        <v>577</v>
      </c>
      <c r="G43" s="63" t="s">
        <v>28</v>
      </c>
      <c r="H43" s="63" t="s">
        <v>28</v>
      </c>
      <c r="I43" s="63" t="s">
        <v>809</v>
      </c>
    </row>
    <row r="44" ht="11.25" customHeight="1">
      <c r="A44" s="63" t="s">
        <v>2257</v>
      </c>
      <c r="B44" s="63" t="s">
        <v>16</v>
      </c>
      <c r="C44" s="63" t="s">
        <v>2429</v>
      </c>
      <c r="D44" s="63" t="s">
        <v>2430</v>
      </c>
      <c r="E44" s="63" t="s">
        <v>2431</v>
      </c>
      <c r="F44" s="63" t="s">
        <v>2354</v>
      </c>
      <c r="G44" s="63" t="s">
        <v>28</v>
      </c>
      <c r="H44" s="63" t="s">
        <v>28</v>
      </c>
      <c r="I44" s="63" t="s">
        <v>809</v>
      </c>
    </row>
    <row r="45" ht="11.25" customHeight="1">
      <c r="A45" s="63" t="s">
        <v>2257</v>
      </c>
      <c r="B45" s="63" t="s">
        <v>16</v>
      </c>
      <c r="C45" s="63" t="s">
        <v>2432</v>
      </c>
      <c r="D45" s="63" t="s">
        <v>2433</v>
      </c>
      <c r="E45" s="63" t="s">
        <v>2434</v>
      </c>
      <c r="F45" s="63" t="s">
        <v>2407</v>
      </c>
      <c r="G45" s="63" t="s">
        <v>28</v>
      </c>
      <c r="H45" s="63" t="s">
        <v>28</v>
      </c>
      <c r="I45" s="63" t="s">
        <v>809</v>
      </c>
    </row>
    <row r="46" ht="11.25" customHeight="1">
      <c r="A46" s="63" t="s">
        <v>2257</v>
      </c>
      <c r="B46" s="63" t="s">
        <v>16</v>
      </c>
      <c r="C46" s="63" t="s">
        <v>2435</v>
      </c>
      <c r="D46" s="63" t="s">
        <v>2436</v>
      </c>
      <c r="E46" s="63" t="s">
        <v>2437</v>
      </c>
      <c r="F46" s="63" t="s">
        <v>2354</v>
      </c>
      <c r="G46" s="63" t="s">
        <v>28</v>
      </c>
      <c r="H46" s="63" t="s">
        <v>28</v>
      </c>
      <c r="I46" s="63" t="s">
        <v>809</v>
      </c>
    </row>
    <row r="47" ht="11.25" customHeight="1">
      <c r="A47" s="63" t="s">
        <v>2257</v>
      </c>
      <c r="B47" s="63" t="s">
        <v>16</v>
      </c>
      <c r="C47" s="63" t="s">
        <v>2438</v>
      </c>
      <c r="D47" s="63" t="s">
        <v>2439</v>
      </c>
      <c r="E47" s="63" t="s">
        <v>2440</v>
      </c>
      <c r="F47" s="63" t="s">
        <v>2441</v>
      </c>
      <c r="G47" s="63" t="s">
        <v>2442</v>
      </c>
      <c r="H47" s="63" t="s">
        <v>28</v>
      </c>
      <c r="I47" s="63" t="s">
        <v>809</v>
      </c>
    </row>
    <row r="48" ht="11.25" customHeight="1">
      <c r="A48" s="63" t="s">
        <v>2257</v>
      </c>
      <c r="B48" s="63" t="s">
        <v>16</v>
      </c>
      <c r="C48" s="63" t="s">
        <v>2443</v>
      </c>
      <c r="D48" s="63" t="s">
        <v>2444</v>
      </c>
      <c r="E48" s="63" t="s">
        <v>2445</v>
      </c>
      <c r="F48" s="63" t="s">
        <v>2395</v>
      </c>
      <c r="G48" s="63" t="s">
        <v>28</v>
      </c>
      <c r="H48" s="63" t="s">
        <v>28</v>
      </c>
      <c r="I48" s="63" t="s">
        <v>809</v>
      </c>
    </row>
    <row r="49" ht="11.25" customHeight="1">
      <c r="A49" s="63" t="s">
        <v>2257</v>
      </c>
      <c r="B49" s="63" t="s">
        <v>16</v>
      </c>
      <c r="C49" s="63" t="s">
        <v>2446</v>
      </c>
      <c r="D49" s="63" t="s">
        <v>2447</v>
      </c>
      <c r="E49" s="63" t="s">
        <v>2448</v>
      </c>
      <c r="F49" s="63" t="s">
        <v>2449</v>
      </c>
      <c r="G49" s="63" t="s">
        <v>2450</v>
      </c>
      <c r="H49" s="63" t="s">
        <v>28</v>
      </c>
      <c r="I49" s="63" t="s">
        <v>809</v>
      </c>
    </row>
    <row r="50" ht="11.25" customHeight="1">
      <c r="A50" s="63" t="s">
        <v>2257</v>
      </c>
      <c r="B50" s="63" t="s">
        <v>16</v>
      </c>
      <c r="C50" s="63" t="s">
        <v>2451</v>
      </c>
      <c r="D50" s="63" t="s">
        <v>2452</v>
      </c>
      <c r="E50" s="63" t="s">
        <v>2453</v>
      </c>
      <c r="F50" s="63" t="s">
        <v>2395</v>
      </c>
      <c r="G50" s="63" t="s">
        <v>28</v>
      </c>
      <c r="H50" s="63" t="s">
        <v>28</v>
      </c>
      <c r="I50" s="63" t="s">
        <v>809</v>
      </c>
    </row>
    <row r="51" ht="11.25" customHeight="1">
      <c r="A51" s="63" t="s">
        <v>2257</v>
      </c>
      <c r="B51" s="63" t="s">
        <v>16</v>
      </c>
      <c r="C51" s="63" t="s">
        <v>2454</v>
      </c>
      <c r="D51" s="63" t="s">
        <v>2455</v>
      </c>
      <c r="E51" s="63" t="s">
        <v>2456</v>
      </c>
      <c r="F51" s="63" t="s">
        <v>2449</v>
      </c>
      <c r="G51" s="63" t="s">
        <v>2457</v>
      </c>
      <c r="H51" s="63" t="s">
        <v>28</v>
      </c>
      <c r="I51" s="63" t="s">
        <v>809</v>
      </c>
    </row>
    <row r="52" ht="11.25" customHeight="1">
      <c r="A52" s="63" t="s">
        <v>2257</v>
      </c>
      <c r="B52" s="63" t="s">
        <v>16</v>
      </c>
      <c r="C52" s="63" t="s">
        <v>2458</v>
      </c>
      <c r="D52" s="63" t="s">
        <v>2459</v>
      </c>
      <c r="E52" s="63" t="s">
        <v>2460</v>
      </c>
      <c r="F52" s="63" t="s">
        <v>2395</v>
      </c>
      <c r="G52" s="63" t="s">
        <v>2461</v>
      </c>
      <c r="H52" s="63" t="s">
        <v>28</v>
      </c>
      <c r="I52" s="63" t="s">
        <v>809</v>
      </c>
    </row>
    <row r="53" ht="11.25" customHeight="1">
      <c r="A53" s="63" t="s">
        <v>2257</v>
      </c>
      <c r="B53" s="63" t="s">
        <v>16</v>
      </c>
      <c r="C53" s="63" t="s">
        <v>2462</v>
      </c>
      <c r="D53" s="63" t="s">
        <v>2463</v>
      </c>
      <c r="E53" s="63" t="s">
        <v>2464</v>
      </c>
      <c r="F53" s="63" t="s">
        <v>2465</v>
      </c>
      <c r="G53" s="63" t="s">
        <v>28</v>
      </c>
      <c r="H53" s="63" t="s">
        <v>28</v>
      </c>
      <c r="I53" s="63" t="s">
        <v>809</v>
      </c>
    </row>
    <row r="54" ht="11.25" customHeight="1">
      <c r="A54" s="63" t="s">
        <v>2257</v>
      </c>
      <c r="B54" s="63" t="s">
        <v>16</v>
      </c>
      <c r="C54" s="63" t="s">
        <v>2466</v>
      </c>
      <c r="D54" s="63" t="s">
        <v>2467</v>
      </c>
      <c r="E54" s="63" t="s">
        <v>2468</v>
      </c>
      <c r="F54" s="63" t="s">
        <v>2469</v>
      </c>
      <c r="G54" s="63" t="s">
        <v>2470</v>
      </c>
      <c r="H54" s="63" t="s">
        <v>28</v>
      </c>
      <c r="I54" s="63" t="s">
        <v>809</v>
      </c>
    </row>
    <row r="55" ht="11.25" customHeight="1">
      <c r="A55" s="63" t="s">
        <v>2257</v>
      </c>
      <c r="B55" s="63" t="s">
        <v>16</v>
      </c>
      <c r="C55" s="63" t="s">
        <v>2471</v>
      </c>
      <c r="D55" s="63" t="s">
        <v>2472</v>
      </c>
      <c r="E55" s="63" t="s">
        <v>2473</v>
      </c>
      <c r="F55" s="63" t="s">
        <v>2474</v>
      </c>
      <c r="G55" s="63" t="s">
        <v>28</v>
      </c>
      <c r="H55" s="63" t="s">
        <v>28</v>
      </c>
      <c r="I55" s="63" t="s">
        <v>809</v>
      </c>
    </row>
    <row r="56" ht="11.25" customHeight="1">
      <c r="A56" s="63" t="s">
        <v>2257</v>
      </c>
      <c r="B56" s="63" t="s">
        <v>16</v>
      </c>
      <c r="C56" s="63" t="s">
        <v>2475</v>
      </c>
      <c r="D56" s="63" t="s">
        <v>2476</v>
      </c>
      <c r="E56" s="63" t="s">
        <v>2477</v>
      </c>
      <c r="F56" s="63" t="s">
        <v>2469</v>
      </c>
      <c r="G56" s="63" t="s">
        <v>28</v>
      </c>
      <c r="H56" s="63" t="s">
        <v>28</v>
      </c>
      <c r="I56" s="63" t="s">
        <v>809</v>
      </c>
    </row>
    <row r="57" ht="11.25" customHeight="1">
      <c r="A57" s="63" t="s">
        <v>2257</v>
      </c>
      <c r="B57" s="63" t="s">
        <v>16</v>
      </c>
      <c r="C57" s="63" t="s">
        <v>2478</v>
      </c>
      <c r="D57" s="63" t="s">
        <v>2479</v>
      </c>
      <c r="E57" s="63" t="s">
        <v>2480</v>
      </c>
      <c r="F57" s="63" t="s">
        <v>2481</v>
      </c>
      <c r="G57" s="63" t="s">
        <v>28</v>
      </c>
      <c r="H57" s="63" t="s">
        <v>28</v>
      </c>
      <c r="I57" s="63" t="s">
        <v>809</v>
      </c>
    </row>
    <row r="58" ht="11.25" customHeight="1">
      <c r="A58" s="63" t="s">
        <v>2257</v>
      </c>
      <c r="B58" s="63" t="s">
        <v>16</v>
      </c>
      <c r="C58" s="63" t="s">
        <v>2482</v>
      </c>
      <c r="D58" s="63" t="s">
        <v>2483</v>
      </c>
      <c r="E58" s="63" t="s">
        <v>2484</v>
      </c>
      <c r="F58" s="63" t="s">
        <v>2485</v>
      </c>
      <c r="G58" s="63" t="s">
        <v>28</v>
      </c>
      <c r="H58" s="63" t="s">
        <v>28</v>
      </c>
      <c r="I58" s="63" t="s">
        <v>809</v>
      </c>
    </row>
    <row r="59" ht="11.25" customHeight="1">
      <c r="A59" s="63" t="s">
        <v>2257</v>
      </c>
      <c r="B59" s="63" t="s">
        <v>16</v>
      </c>
      <c r="C59" s="63" t="s">
        <v>2486</v>
      </c>
      <c r="D59" s="63" t="s">
        <v>2487</v>
      </c>
      <c r="E59" s="63" t="s">
        <v>2488</v>
      </c>
      <c r="F59" s="63" t="s">
        <v>2288</v>
      </c>
      <c r="G59" s="63" t="s">
        <v>2489</v>
      </c>
      <c r="H59" s="63" t="s">
        <v>28</v>
      </c>
      <c r="I59" s="63" t="s">
        <v>809</v>
      </c>
    </row>
    <row r="60" ht="11.25" customHeight="1">
      <c r="A60" s="63" t="s">
        <v>2257</v>
      </c>
      <c r="B60" s="63" t="s">
        <v>16</v>
      </c>
      <c r="C60" s="63" t="s">
        <v>2490</v>
      </c>
      <c r="D60" s="63" t="s">
        <v>2491</v>
      </c>
      <c r="E60" s="63" t="s">
        <v>2492</v>
      </c>
      <c r="F60" s="63" t="s">
        <v>2288</v>
      </c>
      <c r="G60" s="63" t="s">
        <v>2493</v>
      </c>
      <c r="H60" s="63" t="s">
        <v>28</v>
      </c>
      <c r="I60" s="63" t="s">
        <v>809</v>
      </c>
    </row>
    <row r="61" ht="11.25" customHeight="1">
      <c r="A61" s="63" t="s">
        <v>2257</v>
      </c>
      <c r="B61" s="63" t="s">
        <v>16</v>
      </c>
      <c r="C61" s="63" t="s">
        <v>2494</v>
      </c>
      <c r="D61" s="63" t="s">
        <v>2495</v>
      </c>
      <c r="E61" s="63" t="s">
        <v>2496</v>
      </c>
      <c r="F61" s="63" t="s">
        <v>2395</v>
      </c>
      <c r="G61" s="63" t="s">
        <v>2497</v>
      </c>
      <c r="H61" s="63" t="s">
        <v>28</v>
      </c>
      <c r="I61" s="63" t="s">
        <v>809</v>
      </c>
    </row>
    <row r="62" ht="11.25" customHeight="1">
      <c r="A62" s="63" t="s">
        <v>2257</v>
      </c>
      <c r="B62" s="63" t="s">
        <v>16</v>
      </c>
      <c r="C62" s="63" t="s">
        <v>2498</v>
      </c>
      <c r="D62" s="63" t="s">
        <v>2499</v>
      </c>
      <c r="E62" s="63" t="s">
        <v>2500</v>
      </c>
      <c r="F62" s="63" t="s">
        <v>2395</v>
      </c>
      <c r="G62" s="63" t="s">
        <v>2501</v>
      </c>
      <c r="H62" s="63" t="s">
        <v>28</v>
      </c>
      <c r="I62" s="63" t="s">
        <v>809</v>
      </c>
    </row>
    <row r="63" ht="11.25" customHeight="1">
      <c r="A63" s="63" t="s">
        <v>2257</v>
      </c>
      <c r="B63" s="63" t="s">
        <v>16</v>
      </c>
      <c r="C63" s="63" t="s">
        <v>2502</v>
      </c>
      <c r="D63" s="63" t="s">
        <v>2503</v>
      </c>
      <c r="E63" s="63" t="s">
        <v>2504</v>
      </c>
      <c r="F63" s="63" t="s">
        <v>2395</v>
      </c>
      <c r="G63" s="63" t="s">
        <v>2505</v>
      </c>
      <c r="H63" s="63" t="s">
        <v>28</v>
      </c>
      <c r="I63" s="63" t="s">
        <v>809</v>
      </c>
    </row>
    <row r="64" ht="11.25" customHeight="1">
      <c r="A64" s="63" t="s">
        <v>2257</v>
      </c>
      <c r="B64" s="63" t="s">
        <v>16</v>
      </c>
      <c r="C64" s="63" t="s">
        <v>2506</v>
      </c>
      <c r="D64" s="63" t="s">
        <v>2507</v>
      </c>
      <c r="E64" s="63" t="s">
        <v>2508</v>
      </c>
      <c r="F64" s="63" t="s">
        <v>2395</v>
      </c>
      <c r="G64" s="63" t="s">
        <v>28</v>
      </c>
      <c r="H64" s="63" t="s">
        <v>28</v>
      </c>
      <c r="I64" s="63" t="s">
        <v>809</v>
      </c>
    </row>
    <row r="65" ht="11.25" customHeight="1">
      <c r="A65" s="63" t="s">
        <v>2257</v>
      </c>
      <c r="B65" s="63" t="s">
        <v>16</v>
      </c>
      <c r="C65" s="63" t="s">
        <v>2509</v>
      </c>
      <c r="D65" s="63" t="s">
        <v>2510</v>
      </c>
      <c r="E65" s="63" t="s">
        <v>2511</v>
      </c>
      <c r="F65" s="63" t="s">
        <v>2485</v>
      </c>
      <c r="G65" s="63" t="s">
        <v>28</v>
      </c>
      <c r="H65" s="63" t="s">
        <v>28</v>
      </c>
      <c r="I65" s="63" t="s">
        <v>809</v>
      </c>
    </row>
    <row r="66" ht="11.25" customHeight="1">
      <c r="A66" s="63" t="s">
        <v>2257</v>
      </c>
      <c r="B66" s="63" t="s">
        <v>16</v>
      </c>
      <c r="C66" s="63" t="s">
        <v>2512</v>
      </c>
      <c r="D66" s="63" t="s">
        <v>2513</v>
      </c>
      <c r="E66" s="63" t="s">
        <v>2514</v>
      </c>
      <c r="F66" s="63" t="s">
        <v>2364</v>
      </c>
      <c r="G66" s="63" t="s">
        <v>28</v>
      </c>
      <c r="H66" s="63" t="s">
        <v>28</v>
      </c>
      <c r="I66" s="63" t="s">
        <v>809</v>
      </c>
    </row>
    <row r="67" ht="11.25" customHeight="1">
      <c r="A67" s="63" t="s">
        <v>2257</v>
      </c>
      <c r="B67" s="63" t="s">
        <v>16</v>
      </c>
      <c r="C67" s="63" t="s">
        <v>2515</v>
      </c>
      <c r="D67" s="63" t="s">
        <v>2516</v>
      </c>
      <c r="E67" s="63" t="s">
        <v>2517</v>
      </c>
      <c r="F67" s="63" t="s">
        <v>2518</v>
      </c>
      <c r="G67" s="63" t="s">
        <v>28</v>
      </c>
      <c r="H67" s="63" t="s">
        <v>28</v>
      </c>
      <c r="I67" s="63" t="s">
        <v>809</v>
      </c>
    </row>
    <row r="68" ht="11.25" customHeight="1">
      <c r="A68" s="63" t="s">
        <v>2257</v>
      </c>
      <c r="B68" s="63" t="s">
        <v>16</v>
      </c>
      <c r="C68" s="63" t="s">
        <v>2519</v>
      </c>
      <c r="D68" s="63" t="s">
        <v>2520</v>
      </c>
      <c r="E68" s="63" t="s">
        <v>2521</v>
      </c>
      <c r="F68" s="63" t="s">
        <v>2485</v>
      </c>
      <c r="G68" s="63" t="s">
        <v>2522</v>
      </c>
      <c r="H68" s="63" t="s">
        <v>28</v>
      </c>
      <c r="I68" s="63" t="s">
        <v>809</v>
      </c>
    </row>
    <row r="69" ht="11.25" customHeight="1">
      <c r="A69" s="63" t="s">
        <v>2257</v>
      </c>
      <c r="B69" s="63" t="s">
        <v>16</v>
      </c>
      <c r="C69" s="63" t="s">
        <v>2523</v>
      </c>
      <c r="D69" s="63" t="s">
        <v>2524</v>
      </c>
      <c r="E69" s="63" t="s">
        <v>2525</v>
      </c>
      <c r="F69" s="63" t="s">
        <v>2395</v>
      </c>
      <c r="G69" s="63" t="s">
        <v>2526</v>
      </c>
      <c r="H69" s="63" t="s">
        <v>28</v>
      </c>
      <c r="I69" s="63" t="s">
        <v>809</v>
      </c>
    </row>
    <row r="70" ht="11.25" customHeight="1">
      <c r="A70" s="63" t="s">
        <v>2257</v>
      </c>
      <c r="B70" s="63" t="s">
        <v>16</v>
      </c>
      <c r="C70" s="63" t="s">
        <v>2527</v>
      </c>
      <c r="D70" s="63" t="s">
        <v>2528</v>
      </c>
      <c r="E70" s="63" t="s">
        <v>2529</v>
      </c>
      <c r="F70" s="63" t="s">
        <v>2485</v>
      </c>
      <c r="G70" s="63" t="s">
        <v>28</v>
      </c>
      <c r="H70" s="63" t="s">
        <v>28</v>
      </c>
      <c r="I70" s="63" t="s">
        <v>809</v>
      </c>
    </row>
    <row r="71" ht="11.25" customHeight="1">
      <c r="A71" s="63" t="s">
        <v>2257</v>
      </c>
      <c r="B71" s="63" t="s">
        <v>16</v>
      </c>
      <c r="C71" s="63" t="s">
        <v>28</v>
      </c>
      <c r="D71" s="63" t="s">
        <v>2530</v>
      </c>
      <c r="E71" s="63" t="s">
        <v>2531</v>
      </c>
      <c r="F71" s="63" t="s">
        <v>2275</v>
      </c>
      <c r="G71" s="63" t="s">
        <v>28</v>
      </c>
      <c r="H71" s="63" t="s">
        <v>28</v>
      </c>
      <c r="I71" s="63" t="s">
        <v>809</v>
      </c>
    </row>
    <row r="72" ht="11.25" customHeight="1">
      <c r="A72" s="63" t="s">
        <v>2257</v>
      </c>
      <c r="B72" s="63" t="s">
        <v>16</v>
      </c>
      <c r="C72" s="63" t="s">
        <v>2532</v>
      </c>
      <c r="D72" s="63" t="s">
        <v>2533</v>
      </c>
      <c r="E72" s="63" t="s">
        <v>2534</v>
      </c>
      <c r="F72" s="63" t="s">
        <v>2364</v>
      </c>
      <c r="G72" s="63" t="s">
        <v>2535</v>
      </c>
      <c r="H72" s="63" t="s">
        <v>28</v>
      </c>
      <c r="I72" s="63" t="s">
        <v>809</v>
      </c>
    </row>
    <row r="73" ht="11.25" customHeight="1">
      <c r="A73" s="63" t="s">
        <v>2257</v>
      </c>
      <c r="B73" s="63" t="s">
        <v>16</v>
      </c>
      <c r="C73" s="63" t="s">
        <v>2536</v>
      </c>
      <c r="D73" s="63" t="s">
        <v>2537</v>
      </c>
      <c r="E73" s="63" t="s">
        <v>2538</v>
      </c>
      <c r="F73" s="63" t="s">
        <v>2391</v>
      </c>
      <c r="G73" s="63" t="s">
        <v>28</v>
      </c>
      <c r="H73" s="63" t="s">
        <v>28</v>
      </c>
      <c r="I73" s="63" t="s">
        <v>809</v>
      </c>
    </row>
    <row r="74" ht="11.25" customHeight="1">
      <c r="A74" s="63" t="s">
        <v>2257</v>
      </c>
      <c r="B74" s="63" t="s">
        <v>16</v>
      </c>
      <c r="C74" s="63" t="s">
        <v>2539</v>
      </c>
      <c r="D74" s="63" t="s">
        <v>2540</v>
      </c>
      <c r="E74" s="63" t="s">
        <v>2541</v>
      </c>
      <c r="F74" s="63" t="s">
        <v>2395</v>
      </c>
      <c r="G74" s="63" t="s">
        <v>28</v>
      </c>
      <c r="H74" s="63" t="s">
        <v>28</v>
      </c>
      <c r="I74" s="63" t="s">
        <v>809</v>
      </c>
    </row>
    <row r="75" ht="11.25" customHeight="1">
      <c r="A75" s="63" t="s">
        <v>2257</v>
      </c>
      <c r="B75" s="63" t="s">
        <v>16</v>
      </c>
      <c r="C75" s="63" t="s">
        <v>2542</v>
      </c>
      <c r="D75" s="63" t="s">
        <v>2543</v>
      </c>
      <c r="E75" s="63" t="s">
        <v>2544</v>
      </c>
      <c r="F75" s="63" t="s">
        <v>2298</v>
      </c>
      <c r="G75" s="63" t="s">
        <v>28</v>
      </c>
      <c r="H75" s="63" t="s">
        <v>28</v>
      </c>
      <c r="I75" s="63" t="s">
        <v>809</v>
      </c>
    </row>
    <row r="76" ht="11.25" customHeight="1">
      <c r="A76" s="63" t="s">
        <v>2257</v>
      </c>
      <c r="B76" s="63" t="s">
        <v>16</v>
      </c>
      <c r="C76" s="63" t="s">
        <v>2545</v>
      </c>
      <c r="D76" s="63" t="s">
        <v>2546</v>
      </c>
      <c r="E76" s="63" t="s">
        <v>2547</v>
      </c>
      <c r="F76" s="63" t="s">
        <v>2298</v>
      </c>
      <c r="G76" s="63" t="s">
        <v>28</v>
      </c>
      <c r="H76" s="63" t="s">
        <v>28</v>
      </c>
      <c r="I76" s="63" t="s">
        <v>809</v>
      </c>
    </row>
    <row r="77" ht="11.25" customHeight="1">
      <c r="A77" s="63" t="s">
        <v>2257</v>
      </c>
      <c r="B77" s="63" t="s">
        <v>16</v>
      </c>
      <c r="C77" s="63" t="s">
        <v>2548</v>
      </c>
      <c r="D77" s="63" t="s">
        <v>2549</v>
      </c>
      <c r="E77" s="63" t="s">
        <v>2550</v>
      </c>
      <c r="F77" s="63" t="s">
        <v>2298</v>
      </c>
      <c r="G77" s="63" t="s">
        <v>2551</v>
      </c>
      <c r="H77" s="63" t="s">
        <v>28</v>
      </c>
      <c r="I77" s="63" t="s">
        <v>809</v>
      </c>
    </row>
    <row r="78" ht="11.25" customHeight="1">
      <c r="A78" s="63" t="s">
        <v>2257</v>
      </c>
      <c r="B78" s="63" t="s">
        <v>16</v>
      </c>
      <c r="C78" s="63" t="s">
        <v>2552</v>
      </c>
      <c r="D78" s="63" t="s">
        <v>2553</v>
      </c>
      <c r="E78" s="63" t="s">
        <v>2554</v>
      </c>
      <c r="F78" s="63" t="s">
        <v>2485</v>
      </c>
      <c r="G78" s="63" t="s">
        <v>2555</v>
      </c>
      <c r="H78" s="63" t="s">
        <v>28</v>
      </c>
      <c r="I78" s="63" t="s">
        <v>809</v>
      </c>
    </row>
    <row r="79" ht="11.25" customHeight="1">
      <c r="A79" s="63" t="s">
        <v>2257</v>
      </c>
      <c r="B79" s="63" t="s">
        <v>16</v>
      </c>
      <c r="C79" s="63" t="s">
        <v>2556</v>
      </c>
      <c r="D79" s="63" t="s">
        <v>2557</v>
      </c>
      <c r="E79" s="63" t="s">
        <v>2558</v>
      </c>
      <c r="F79" s="63" t="s">
        <v>2559</v>
      </c>
      <c r="G79" s="63" t="s">
        <v>2560</v>
      </c>
      <c r="H79" s="63" t="s">
        <v>28</v>
      </c>
      <c r="I79" s="63" t="s">
        <v>809</v>
      </c>
    </row>
    <row r="80" ht="11.25" customHeight="1">
      <c r="A80" s="63" t="s">
        <v>2257</v>
      </c>
      <c r="B80" s="63" t="s">
        <v>16</v>
      </c>
      <c r="C80" s="63" t="s">
        <v>2561</v>
      </c>
      <c r="D80" s="63" t="s">
        <v>2562</v>
      </c>
      <c r="E80" s="63" t="s">
        <v>2563</v>
      </c>
      <c r="F80" s="63" t="s">
        <v>2564</v>
      </c>
      <c r="G80" s="63" t="s">
        <v>2565</v>
      </c>
      <c r="H80" s="63" t="s">
        <v>28</v>
      </c>
      <c r="I80" s="63" t="s">
        <v>809</v>
      </c>
    </row>
    <row r="81" ht="11.25" customHeight="1">
      <c r="A81" s="63" t="s">
        <v>2257</v>
      </c>
      <c r="B81" s="63" t="s">
        <v>16</v>
      </c>
      <c r="C81" s="63" t="s">
        <v>2566</v>
      </c>
      <c r="D81" s="63" t="s">
        <v>2567</v>
      </c>
      <c r="E81" s="63" t="s">
        <v>2568</v>
      </c>
      <c r="F81" s="63" t="s">
        <v>2569</v>
      </c>
      <c r="G81" s="63" t="s">
        <v>28</v>
      </c>
      <c r="H81" s="63" t="s">
        <v>28</v>
      </c>
      <c r="I81" s="63" t="s">
        <v>809</v>
      </c>
    </row>
    <row r="82" ht="11.25" customHeight="1">
      <c r="A82" s="63" t="s">
        <v>2257</v>
      </c>
      <c r="B82" s="63" t="s">
        <v>16</v>
      </c>
      <c r="C82" s="63" t="s">
        <v>2570</v>
      </c>
      <c r="D82" s="63" t="s">
        <v>2571</v>
      </c>
      <c r="E82" s="63" t="s">
        <v>2572</v>
      </c>
      <c r="F82" s="63" t="s">
        <v>2573</v>
      </c>
      <c r="G82" s="63" t="s">
        <v>28</v>
      </c>
      <c r="H82" s="63" t="s">
        <v>28</v>
      </c>
      <c r="I82" s="63" t="s">
        <v>809</v>
      </c>
    </row>
    <row r="83" ht="11.25" customHeight="1">
      <c r="A83" s="63" t="s">
        <v>2257</v>
      </c>
      <c r="B83" s="63" t="s">
        <v>16</v>
      </c>
      <c r="C83" s="63" t="s">
        <v>2574</v>
      </c>
      <c r="D83" s="63" t="s">
        <v>2575</v>
      </c>
      <c r="E83" s="63" t="s">
        <v>2576</v>
      </c>
      <c r="F83" s="63" t="s">
        <v>2391</v>
      </c>
      <c r="G83" s="63" t="s">
        <v>28</v>
      </c>
      <c r="H83" s="63" t="s">
        <v>28</v>
      </c>
      <c r="I83" s="63" t="s">
        <v>809</v>
      </c>
    </row>
    <row r="84" ht="11.25" customHeight="1">
      <c r="A84" s="63" t="s">
        <v>2257</v>
      </c>
      <c r="B84" s="63" t="s">
        <v>16</v>
      </c>
      <c r="C84" s="63" t="s">
        <v>2577</v>
      </c>
      <c r="D84" s="63" t="s">
        <v>2578</v>
      </c>
      <c r="E84" s="63" t="s">
        <v>2579</v>
      </c>
      <c r="F84" s="63" t="s">
        <v>2330</v>
      </c>
      <c r="G84" s="63" t="s">
        <v>28</v>
      </c>
      <c r="H84" s="63" t="s">
        <v>28</v>
      </c>
      <c r="I84" s="63" t="s">
        <v>809</v>
      </c>
    </row>
    <row r="85" ht="11.25" customHeight="1">
      <c r="A85" s="63" t="s">
        <v>2257</v>
      </c>
      <c r="B85" s="63" t="s">
        <v>16</v>
      </c>
      <c r="C85" s="63" t="s">
        <v>2580</v>
      </c>
      <c r="D85" s="63" t="s">
        <v>2581</v>
      </c>
      <c r="E85" s="63" t="s">
        <v>2582</v>
      </c>
      <c r="F85" s="63" t="s">
        <v>2364</v>
      </c>
      <c r="G85" s="63" t="s">
        <v>2583</v>
      </c>
      <c r="H85" s="63" t="s">
        <v>28</v>
      </c>
      <c r="I85" s="63" t="s">
        <v>809</v>
      </c>
    </row>
    <row r="86" ht="11.25" customHeight="1">
      <c r="A86" s="63" t="s">
        <v>2257</v>
      </c>
      <c r="B86" s="63" t="s">
        <v>16</v>
      </c>
      <c r="C86" s="63" t="s">
        <v>2584</v>
      </c>
      <c r="D86" s="63" t="s">
        <v>2585</v>
      </c>
      <c r="E86" s="63" t="s">
        <v>2586</v>
      </c>
      <c r="F86" s="63" t="s">
        <v>2298</v>
      </c>
      <c r="G86" s="63" t="s">
        <v>2587</v>
      </c>
      <c r="H86" s="63" t="s">
        <v>28</v>
      </c>
      <c r="I86" s="63" t="s">
        <v>809</v>
      </c>
    </row>
    <row r="87" ht="11.25" customHeight="1">
      <c r="A87" s="63" t="s">
        <v>2257</v>
      </c>
      <c r="B87" s="63" t="s">
        <v>16</v>
      </c>
      <c r="C87" s="63" t="s">
        <v>2588</v>
      </c>
      <c r="D87" s="63" t="s">
        <v>2589</v>
      </c>
      <c r="E87" s="63" t="s">
        <v>2590</v>
      </c>
      <c r="F87" s="63" t="s">
        <v>2591</v>
      </c>
      <c r="G87" s="63" t="s">
        <v>2592</v>
      </c>
      <c r="H87" s="63" t="s">
        <v>28</v>
      </c>
      <c r="I87" s="63" t="s">
        <v>809</v>
      </c>
    </row>
    <row r="88" ht="11.25" customHeight="1">
      <c r="A88" s="63" t="s">
        <v>2257</v>
      </c>
      <c r="B88" s="63" t="s">
        <v>16</v>
      </c>
      <c r="C88" s="63" t="s">
        <v>2593</v>
      </c>
      <c r="D88" s="63" t="s">
        <v>2594</v>
      </c>
      <c r="E88" s="63" t="s">
        <v>2595</v>
      </c>
      <c r="F88" s="63" t="s">
        <v>2407</v>
      </c>
      <c r="G88" s="63" t="s">
        <v>2596</v>
      </c>
      <c r="H88" s="63" t="s">
        <v>28</v>
      </c>
      <c r="I88" s="63" t="s">
        <v>809</v>
      </c>
    </row>
    <row r="89" ht="11.25" customHeight="1">
      <c r="A89" s="63" t="s">
        <v>2257</v>
      </c>
      <c r="B89" s="63" t="s">
        <v>16</v>
      </c>
      <c r="C89" s="63" t="s">
        <v>2597</v>
      </c>
      <c r="D89" s="63" t="s">
        <v>2598</v>
      </c>
      <c r="E89" s="63" t="s">
        <v>2599</v>
      </c>
      <c r="F89" s="63" t="s">
        <v>2330</v>
      </c>
      <c r="G89" s="63" t="s">
        <v>2600</v>
      </c>
      <c r="H89" s="63" t="s">
        <v>28</v>
      </c>
      <c r="I89" s="63" t="s">
        <v>809</v>
      </c>
    </row>
    <row r="90" ht="11.25" customHeight="1">
      <c r="A90" s="63" t="s">
        <v>2257</v>
      </c>
      <c r="B90" s="63" t="s">
        <v>16</v>
      </c>
      <c r="C90" s="63" t="s">
        <v>2601</v>
      </c>
      <c r="D90" s="63" t="s">
        <v>2602</v>
      </c>
      <c r="E90" s="63" t="s">
        <v>2603</v>
      </c>
      <c r="F90" s="63" t="s">
        <v>2330</v>
      </c>
      <c r="G90" s="63" t="s">
        <v>2604</v>
      </c>
      <c r="H90" s="63" t="s">
        <v>28</v>
      </c>
      <c r="I90" s="63" t="s">
        <v>809</v>
      </c>
    </row>
    <row r="91" ht="11.25" customHeight="1">
      <c r="A91" s="63" t="s">
        <v>2257</v>
      </c>
      <c r="B91" s="63" t="s">
        <v>16</v>
      </c>
      <c r="C91" s="63" t="s">
        <v>2605</v>
      </c>
      <c r="D91" s="63" t="s">
        <v>2606</v>
      </c>
      <c r="E91" s="63" t="s">
        <v>2607</v>
      </c>
      <c r="F91" s="63" t="s">
        <v>2330</v>
      </c>
      <c r="G91" s="63" t="s">
        <v>28</v>
      </c>
      <c r="H91" s="63" t="s">
        <v>2608</v>
      </c>
      <c r="I91" s="63" t="s">
        <v>809</v>
      </c>
    </row>
    <row r="92" ht="11.25" customHeight="1">
      <c r="A92" s="63" t="s">
        <v>2257</v>
      </c>
      <c r="B92" s="63" t="s">
        <v>16</v>
      </c>
      <c r="C92" s="63" t="s">
        <v>2609</v>
      </c>
      <c r="D92" s="63" t="s">
        <v>2610</v>
      </c>
      <c r="E92" s="63" t="s">
        <v>2611</v>
      </c>
      <c r="F92" s="63" t="s">
        <v>2403</v>
      </c>
      <c r="G92" s="63" t="s">
        <v>28</v>
      </c>
      <c r="H92" s="63" t="s">
        <v>28</v>
      </c>
      <c r="I92" s="63" t="s">
        <v>809</v>
      </c>
    </row>
    <row r="93" ht="11.25" customHeight="1">
      <c r="A93" s="63" t="s">
        <v>2257</v>
      </c>
      <c r="B93" s="63" t="s">
        <v>16</v>
      </c>
      <c r="C93" s="63" t="s">
        <v>2612</v>
      </c>
      <c r="D93" s="63" t="s">
        <v>2613</v>
      </c>
      <c r="E93" s="63" t="s">
        <v>2614</v>
      </c>
      <c r="F93" s="63" t="s">
        <v>2569</v>
      </c>
      <c r="G93" s="63" t="s">
        <v>28</v>
      </c>
      <c r="H93" s="63" t="s">
        <v>28</v>
      </c>
      <c r="I93" s="63" t="s">
        <v>809</v>
      </c>
    </row>
    <row r="94" ht="11.25" customHeight="1">
      <c r="A94" s="63" t="s">
        <v>2257</v>
      </c>
      <c r="B94" s="63" t="s">
        <v>16</v>
      </c>
      <c r="C94" s="63" t="s">
        <v>2615</v>
      </c>
      <c r="D94" s="63" t="s">
        <v>2616</v>
      </c>
      <c r="E94" s="63" t="s">
        <v>2617</v>
      </c>
      <c r="F94" s="63" t="s">
        <v>2391</v>
      </c>
      <c r="G94" s="63" t="s">
        <v>28</v>
      </c>
      <c r="H94" s="63" t="s">
        <v>28</v>
      </c>
      <c r="I94" s="63" t="s">
        <v>809</v>
      </c>
    </row>
    <row r="95" ht="11.25" customHeight="1">
      <c r="A95" s="63" t="s">
        <v>2257</v>
      </c>
      <c r="B95" s="63" t="s">
        <v>16</v>
      </c>
      <c r="C95" s="63" t="s">
        <v>2618</v>
      </c>
      <c r="D95" s="63" t="s">
        <v>2619</v>
      </c>
      <c r="E95" s="63" t="s">
        <v>2620</v>
      </c>
      <c r="F95" s="63" t="s">
        <v>2364</v>
      </c>
      <c r="G95" s="63" t="s">
        <v>2621</v>
      </c>
      <c r="H95" s="63" t="s">
        <v>28</v>
      </c>
      <c r="I95" s="63" t="s">
        <v>809</v>
      </c>
    </row>
    <row r="96" ht="11.25" customHeight="1">
      <c r="A96" s="63" t="s">
        <v>2257</v>
      </c>
      <c r="B96" s="63" t="s">
        <v>16</v>
      </c>
      <c r="C96" s="63" t="s">
        <v>2622</v>
      </c>
      <c r="D96" s="63" t="s">
        <v>2623</v>
      </c>
      <c r="E96" s="63" t="s">
        <v>2624</v>
      </c>
      <c r="F96" s="63" t="s">
        <v>2569</v>
      </c>
      <c r="G96" s="63" t="s">
        <v>2625</v>
      </c>
      <c r="H96" s="63" t="s">
        <v>28</v>
      </c>
      <c r="I96" s="63" t="s">
        <v>809</v>
      </c>
    </row>
    <row r="97" ht="11.25" customHeight="1">
      <c r="A97" s="63" t="s">
        <v>2257</v>
      </c>
      <c r="B97" s="63" t="s">
        <v>16</v>
      </c>
      <c r="C97" s="63" t="s">
        <v>2626</v>
      </c>
      <c r="D97" s="63" t="s">
        <v>2627</v>
      </c>
      <c r="E97" s="63" t="s">
        <v>2628</v>
      </c>
      <c r="F97" s="63" t="s">
        <v>2403</v>
      </c>
      <c r="G97" s="63" t="s">
        <v>2629</v>
      </c>
      <c r="H97" s="63" t="s">
        <v>28</v>
      </c>
      <c r="I97" s="63" t="s">
        <v>809</v>
      </c>
    </row>
    <row r="98" ht="11.25" customHeight="1">
      <c r="A98" s="63" t="s">
        <v>2257</v>
      </c>
      <c r="B98" s="63" t="s">
        <v>16</v>
      </c>
      <c r="C98" s="63" t="s">
        <v>2630</v>
      </c>
      <c r="D98" s="63" t="s">
        <v>2631</v>
      </c>
      <c r="E98" s="63" t="s">
        <v>2632</v>
      </c>
      <c r="F98" s="63" t="s">
        <v>2330</v>
      </c>
      <c r="G98" s="63" t="s">
        <v>2633</v>
      </c>
      <c r="H98" s="63" t="s">
        <v>28</v>
      </c>
      <c r="I98" s="63" t="s">
        <v>809</v>
      </c>
    </row>
    <row r="99" ht="11.25" customHeight="1">
      <c r="A99" s="63" t="s">
        <v>2257</v>
      </c>
      <c r="B99" s="63" t="s">
        <v>16</v>
      </c>
      <c r="C99" s="63" t="s">
        <v>2634</v>
      </c>
      <c r="D99" s="63" t="s">
        <v>2635</v>
      </c>
      <c r="E99" s="63" t="s">
        <v>2636</v>
      </c>
      <c r="F99" s="63" t="s">
        <v>2330</v>
      </c>
      <c r="G99" s="63" t="s">
        <v>28</v>
      </c>
      <c r="H99" s="63" t="s">
        <v>28</v>
      </c>
      <c r="I99" s="63" t="s">
        <v>809</v>
      </c>
    </row>
    <row r="100" ht="11.25" customHeight="1">
      <c r="A100" s="63" t="s">
        <v>2257</v>
      </c>
      <c r="B100" s="63" t="s">
        <v>16</v>
      </c>
      <c r="C100" s="63" t="s">
        <v>2637</v>
      </c>
      <c r="D100" s="63" t="s">
        <v>2638</v>
      </c>
      <c r="E100" s="63" t="s">
        <v>2639</v>
      </c>
      <c r="F100" s="63" t="s">
        <v>2330</v>
      </c>
      <c r="G100" s="63" t="s">
        <v>2640</v>
      </c>
      <c r="H100" s="63" t="s">
        <v>2641</v>
      </c>
      <c r="I100" s="63" t="s">
        <v>809</v>
      </c>
    </row>
    <row r="101" ht="11.25" customHeight="1">
      <c r="A101" s="63" t="s">
        <v>2257</v>
      </c>
      <c r="B101" s="63" t="s">
        <v>16</v>
      </c>
      <c r="C101" s="63" t="s">
        <v>2642</v>
      </c>
      <c r="D101" s="63" t="s">
        <v>2643</v>
      </c>
      <c r="E101" s="63" t="s">
        <v>2644</v>
      </c>
      <c r="F101" s="63" t="s">
        <v>2569</v>
      </c>
      <c r="G101" s="63" t="s">
        <v>28</v>
      </c>
      <c r="H101" s="63" t="s">
        <v>28</v>
      </c>
      <c r="I101" s="63" t="s">
        <v>809</v>
      </c>
    </row>
    <row r="102" ht="11.25" customHeight="1">
      <c r="A102" s="63" t="s">
        <v>2257</v>
      </c>
      <c r="B102" s="63" t="s">
        <v>16</v>
      </c>
      <c r="C102" s="63" t="s">
        <v>2645</v>
      </c>
      <c r="D102" s="63" t="s">
        <v>2646</v>
      </c>
      <c r="E102" s="63" t="s">
        <v>2647</v>
      </c>
      <c r="F102" s="63" t="s">
        <v>2559</v>
      </c>
      <c r="G102" s="63" t="s">
        <v>2648</v>
      </c>
      <c r="H102" s="63" t="s">
        <v>28</v>
      </c>
      <c r="I102" s="63" t="s">
        <v>809</v>
      </c>
    </row>
    <row r="103" ht="11.25" customHeight="1">
      <c r="A103" s="63" t="s">
        <v>2257</v>
      </c>
      <c r="B103" s="63" t="s">
        <v>16</v>
      </c>
      <c r="C103" s="63" t="s">
        <v>2649</v>
      </c>
      <c r="D103" s="63" t="s">
        <v>2650</v>
      </c>
      <c r="E103" s="63" t="s">
        <v>2651</v>
      </c>
      <c r="F103" s="63" t="s">
        <v>2403</v>
      </c>
      <c r="G103" s="63" t="s">
        <v>2652</v>
      </c>
      <c r="H103" s="63" t="s">
        <v>28</v>
      </c>
      <c r="I103" s="63" t="s">
        <v>809</v>
      </c>
    </row>
    <row r="104" ht="11.25" customHeight="1">
      <c r="A104" s="63" t="s">
        <v>2257</v>
      </c>
      <c r="B104" s="63" t="s">
        <v>16</v>
      </c>
      <c r="C104" s="63" t="s">
        <v>2653</v>
      </c>
      <c r="D104" s="63" t="s">
        <v>2654</v>
      </c>
      <c r="E104" s="63" t="s">
        <v>2655</v>
      </c>
      <c r="F104" s="63" t="s">
        <v>2573</v>
      </c>
      <c r="G104" s="63" t="s">
        <v>2656</v>
      </c>
      <c r="H104" s="63" t="s">
        <v>28</v>
      </c>
      <c r="I104" s="63" t="s">
        <v>809</v>
      </c>
    </row>
    <row r="105" ht="11.25" customHeight="1">
      <c r="A105" s="63" t="s">
        <v>2257</v>
      </c>
      <c r="B105" s="63" t="s">
        <v>16</v>
      </c>
      <c r="C105" s="63" t="s">
        <v>2657</v>
      </c>
      <c r="D105" s="63" t="s">
        <v>2658</v>
      </c>
      <c r="E105" s="63" t="s">
        <v>2659</v>
      </c>
      <c r="F105" s="63" t="s">
        <v>2573</v>
      </c>
      <c r="G105" s="63" t="s">
        <v>28</v>
      </c>
      <c r="H105" s="63" t="s">
        <v>28</v>
      </c>
      <c r="I105" s="63" t="s">
        <v>809</v>
      </c>
    </row>
    <row r="106" ht="11.25" customHeight="1">
      <c r="A106" s="63" t="s">
        <v>2257</v>
      </c>
      <c r="B106" s="63" t="s">
        <v>16</v>
      </c>
      <c r="C106" s="63" t="s">
        <v>2660</v>
      </c>
      <c r="D106" s="63" t="s">
        <v>2661</v>
      </c>
      <c r="E106" s="63" t="s">
        <v>2662</v>
      </c>
      <c r="F106" s="63" t="s">
        <v>2364</v>
      </c>
      <c r="G106" s="63" t="s">
        <v>2663</v>
      </c>
      <c r="H106" s="63" t="s">
        <v>28</v>
      </c>
      <c r="I106" s="63" t="s">
        <v>809</v>
      </c>
    </row>
    <row r="107" ht="11.25" customHeight="1">
      <c r="A107" s="63" t="s">
        <v>2257</v>
      </c>
      <c r="B107" s="63" t="s">
        <v>16</v>
      </c>
      <c r="C107" s="63" t="s">
        <v>2664</v>
      </c>
      <c r="D107" s="63" t="s">
        <v>2665</v>
      </c>
      <c r="E107" s="63" t="s">
        <v>2666</v>
      </c>
      <c r="F107" s="63" t="s">
        <v>2330</v>
      </c>
      <c r="G107" s="63" t="s">
        <v>2667</v>
      </c>
      <c r="H107" s="63" t="s">
        <v>28</v>
      </c>
      <c r="I107" s="63" t="s">
        <v>809</v>
      </c>
    </row>
    <row r="108" ht="11.25" customHeight="1">
      <c r="A108" s="63" t="s">
        <v>2257</v>
      </c>
      <c r="B108" s="63" t="s">
        <v>16</v>
      </c>
      <c r="C108" s="63" t="s">
        <v>2668</v>
      </c>
      <c r="D108" s="63" t="s">
        <v>2669</v>
      </c>
      <c r="E108" s="63" t="s">
        <v>2670</v>
      </c>
      <c r="F108" s="63" t="s">
        <v>2391</v>
      </c>
      <c r="G108" s="63" t="s">
        <v>28</v>
      </c>
      <c r="H108" s="63" t="s">
        <v>28</v>
      </c>
      <c r="I108" s="63" t="s">
        <v>809</v>
      </c>
    </row>
    <row r="109" ht="11.25" customHeight="1">
      <c r="A109" s="63" t="s">
        <v>2257</v>
      </c>
      <c r="B109" s="63" t="s">
        <v>16</v>
      </c>
      <c r="C109" s="63" t="s">
        <v>2671</v>
      </c>
      <c r="D109" s="63" t="s">
        <v>2672</v>
      </c>
      <c r="E109" s="63" t="s">
        <v>2673</v>
      </c>
      <c r="F109" s="63" t="s">
        <v>2403</v>
      </c>
      <c r="G109" s="63" t="s">
        <v>28</v>
      </c>
      <c r="H109" s="63" t="s">
        <v>28</v>
      </c>
      <c r="I109" s="63" t="s">
        <v>809</v>
      </c>
    </row>
    <row r="110" ht="11.25" customHeight="1">
      <c r="A110" s="63" t="s">
        <v>2257</v>
      </c>
      <c r="B110" s="63" t="s">
        <v>16</v>
      </c>
      <c r="C110" s="63" t="s">
        <v>2674</v>
      </c>
      <c r="D110" s="63" t="s">
        <v>2675</v>
      </c>
      <c r="E110" s="63" t="s">
        <v>2676</v>
      </c>
      <c r="F110" s="63" t="s">
        <v>2298</v>
      </c>
      <c r="G110" s="63" t="s">
        <v>28</v>
      </c>
      <c r="H110" s="63" t="s">
        <v>28</v>
      </c>
      <c r="I110" s="63" t="s">
        <v>809</v>
      </c>
    </row>
    <row r="111" ht="11.25" customHeight="1">
      <c r="A111" s="63" t="s">
        <v>2257</v>
      </c>
      <c r="B111" s="63" t="s">
        <v>16</v>
      </c>
      <c r="C111" s="63" t="s">
        <v>2677</v>
      </c>
      <c r="D111" s="63" t="s">
        <v>2678</v>
      </c>
      <c r="E111" s="63" t="s">
        <v>2679</v>
      </c>
      <c r="F111" s="63" t="s">
        <v>2298</v>
      </c>
      <c r="G111" s="63" t="s">
        <v>2680</v>
      </c>
      <c r="H111" s="63" t="s">
        <v>28</v>
      </c>
      <c r="I111" s="63" t="s">
        <v>809</v>
      </c>
    </row>
    <row r="112" ht="11.25" customHeight="1">
      <c r="A112" s="63" t="s">
        <v>2257</v>
      </c>
      <c r="B112" s="63" t="s">
        <v>16</v>
      </c>
      <c r="C112" s="63" t="s">
        <v>2681</v>
      </c>
      <c r="D112" s="63" t="s">
        <v>2682</v>
      </c>
      <c r="E112" s="63" t="s">
        <v>2683</v>
      </c>
      <c r="F112" s="63" t="s">
        <v>2407</v>
      </c>
      <c r="G112" s="63" t="s">
        <v>28</v>
      </c>
      <c r="H112" s="63" t="s">
        <v>28</v>
      </c>
      <c r="I112" s="63" t="s">
        <v>809</v>
      </c>
    </row>
    <row r="113" ht="11.25" customHeight="1">
      <c r="A113" s="63" t="s">
        <v>2257</v>
      </c>
      <c r="B113" s="63" t="s">
        <v>16</v>
      </c>
      <c r="C113" s="63" t="s">
        <v>2684</v>
      </c>
      <c r="D113" s="63" t="s">
        <v>2685</v>
      </c>
      <c r="E113" s="63" t="s">
        <v>2686</v>
      </c>
      <c r="F113" s="63" t="s">
        <v>2391</v>
      </c>
      <c r="G113" s="63" t="s">
        <v>28</v>
      </c>
      <c r="H113" s="63" t="s">
        <v>28</v>
      </c>
      <c r="I113" s="63" t="s">
        <v>809</v>
      </c>
    </row>
    <row r="114" ht="11.25" customHeight="1">
      <c r="A114" s="63" t="s">
        <v>2257</v>
      </c>
      <c r="B114" s="63" t="s">
        <v>16</v>
      </c>
      <c r="C114" s="63" t="s">
        <v>2687</v>
      </c>
      <c r="D114" s="63" t="s">
        <v>2688</v>
      </c>
      <c r="E114" s="63" t="s">
        <v>2689</v>
      </c>
      <c r="F114" s="63" t="s">
        <v>2275</v>
      </c>
      <c r="G114" s="63" t="s">
        <v>28</v>
      </c>
      <c r="H114" s="63" t="s">
        <v>28</v>
      </c>
      <c r="I114" s="63" t="s">
        <v>809</v>
      </c>
    </row>
    <row r="115" ht="11.25" customHeight="1">
      <c r="A115" s="63" t="s">
        <v>2257</v>
      </c>
      <c r="B115" s="63" t="s">
        <v>16</v>
      </c>
      <c r="C115" s="63" t="s">
        <v>2690</v>
      </c>
      <c r="D115" s="63" t="s">
        <v>2691</v>
      </c>
      <c r="E115" s="63" t="s">
        <v>2692</v>
      </c>
      <c r="F115" s="63" t="s">
        <v>2322</v>
      </c>
      <c r="G115" s="63" t="s">
        <v>28</v>
      </c>
      <c r="H115" s="63" t="s">
        <v>28</v>
      </c>
      <c r="I115" s="63" t="s">
        <v>809</v>
      </c>
    </row>
    <row r="116" ht="11.25" customHeight="1">
      <c r="A116" s="63" t="s">
        <v>2257</v>
      </c>
      <c r="B116" s="63" t="s">
        <v>16</v>
      </c>
      <c r="C116" s="63" t="s">
        <v>2693</v>
      </c>
      <c r="D116" s="63" t="s">
        <v>2694</v>
      </c>
      <c r="E116" s="63" t="s">
        <v>2695</v>
      </c>
      <c r="F116" s="63" t="s">
        <v>2696</v>
      </c>
      <c r="G116" s="63" t="s">
        <v>28</v>
      </c>
      <c r="H116" s="63" t="s">
        <v>28</v>
      </c>
      <c r="I116" s="63" t="s">
        <v>809</v>
      </c>
    </row>
    <row r="117" ht="11.25" customHeight="1">
      <c r="A117" s="63" t="s">
        <v>2257</v>
      </c>
      <c r="B117" s="63" t="s">
        <v>16</v>
      </c>
      <c r="C117" s="63" t="s">
        <v>2697</v>
      </c>
      <c r="D117" s="63" t="s">
        <v>2698</v>
      </c>
      <c r="E117" s="63" t="s">
        <v>2699</v>
      </c>
      <c r="F117" s="63" t="s">
        <v>2481</v>
      </c>
      <c r="G117" s="63" t="s">
        <v>28</v>
      </c>
      <c r="H117" s="63" t="s">
        <v>28</v>
      </c>
      <c r="I117" s="63" t="s">
        <v>809</v>
      </c>
    </row>
    <row r="118" ht="11.25" customHeight="1">
      <c r="A118" s="63" t="s">
        <v>2257</v>
      </c>
      <c r="B118" s="63" t="s">
        <v>16</v>
      </c>
      <c r="C118" s="63" t="s">
        <v>2700</v>
      </c>
      <c r="D118" s="63" t="s">
        <v>2701</v>
      </c>
      <c r="E118" s="63" t="s">
        <v>2702</v>
      </c>
      <c r="F118" s="63" t="s">
        <v>2293</v>
      </c>
      <c r="G118" s="63" t="s">
        <v>28</v>
      </c>
      <c r="H118" s="63" t="s">
        <v>28</v>
      </c>
      <c r="I118" s="63" t="s">
        <v>809</v>
      </c>
    </row>
    <row r="119" ht="11.25" customHeight="1">
      <c r="A119" s="63" t="s">
        <v>2257</v>
      </c>
      <c r="B119" s="63" t="s">
        <v>16</v>
      </c>
      <c r="C119" s="63" t="s">
        <v>2703</v>
      </c>
      <c r="D119" s="63" t="s">
        <v>2704</v>
      </c>
      <c r="E119" s="63" t="s">
        <v>2705</v>
      </c>
      <c r="F119" s="63" t="s">
        <v>2288</v>
      </c>
      <c r="G119" s="63" t="s">
        <v>28</v>
      </c>
      <c r="H119" s="63" t="s">
        <v>28</v>
      </c>
      <c r="I119" s="63" t="s">
        <v>809</v>
      </c>
    </row>
    <row r="120" ht="11.25" customHeight="1">
      <c r="A120" s="63" t="s">
        <v>2257</v>
      </c>
      <c r="B120" s="63" t="s">
        <v>16</v>
      </c>
      <c r="C120" s="63" t="s">
        <v>2706</v>
      </c>
      <c r="D120" s="63" t="s">
        <v>2707</v>
      </c>
      <c r="E120" s="63" t="s">
        <v>2708</v>
      </c>
      <c r="F120" s="63" t="s">
        <v>2569</v>
      </c>
      <c r="G120" s="63" t="s">
        <v>2709</v>
      </c>
      <c r="H120" s="63" t="s">
        <v>28</v>
      </c>
      <c r="I120" s="63" t="s">
        <v>809</v>
      </c>
    </row>
    <row r="121" ht="11.25" customHeight="1">
      <c r="A121" s="63" t="s">
        <v>2257</v>
      </c>
      <c r="B121" s="63" t="s">
        <v>16</v>
      </c>
      <c r="C121" s="63" t="s">
        <v>2710</v>
      </c>
      <c r="D121" s="63" t="s">
        <v>2711</v>
      </c>
      <c r="E121" s="63" t="s">
        <v>2712</v>
      </c>
      <c r="F121" s="63" t="s">
        <v>2315</v>
      </c>
      <c r="G121" s="63" t="s">
        <v>2713</v>
      </c>
      <c r="H121" s="63" t="s">
        <v>28</v>
      </c>
      <c r="I121" s="63" t="s">
        <v>809</v>
      </c>
    </row>
    <row r="122" ht="11.25" customHeight="1">
      <c r="A122" s="63" t="s">
        <v>2257</v>
      </c>
      <c r="B122" s="63" t="s">
        <v>16</v>
      </c>
      <c r="C122" s="63" t="s">
        <v>2714</v>
      </c>
      <c r="D122" s="63" t="s">
        <v>2715</v>
      </c>
      <c r="E122" s="63" t="s">
        <v>2374</v>
      </c>
      <c r="F122" s="63" t="s">
        <v>2716</v>
      </c>
      <c r="G122" s="63" t="s">
        <v>28</v>
      </c>
      <c r="H122" s="63" t="s">
        <v>28</v>
      </c>
      <c r="I122" s="63" t="s">
        <v>809</v>
      </c>
    </row>
    <row r="123" ht="11.25" customHeight="1">
      <c r="A123" s="63" t="s">
        <v>2257</v>
      </c>
      <c r="B123" s="63" t="s">
        <v>16</v>
      </c>
      <c r="C123" s="63" t="s">
        <v>2717</v>
      </c>
      <c r="D123" s="63" t="s">
        <v>2718</v>
      </c>
      <c r="E123" s="63" t="s">
        <v>2719</v>
      </c>
      <c r="F123" s="63" t="s">
        <v>2518</v>
      </c>
      <c r="G123" s="63" t="s">
        <v>28</v>
      </c>
      <c r="H123" s="63" t="s">
        <v>28</v>
      </c>
      <c r="I123" s="63" t="s">
        <v>809</v>
      </c>
    </row>
    <row r="124" ht="11.25" customHeight="1">
      <c r="A124" s="63" t="s">
        <v>2257</v>
      </c>
      <c r="B124" s="63" t="s">
        <v>16</v>
      </c>
      <c r="C124" s="63" t="s">
        <v>2720</v>
      </c>
      <c r="D124" s="63" t="s">
        <v>2721</v>
      </c>
      <c r="E124" s="63" t="s">
        <v>2722</v>
      </c>
      <c r="F124" s="63" t="s">
        <v>2275</v>
      </c>
      <c r="G124" s="63" t="s">
        <v>2266</v>
      </c>
      <c r="H124" s="63" t="s">
        <v>28</v>
      </c>
      <c r="I124" s="63" t="s">
        <v>809</v>
      </c>
    </row>
    <row r="125" ht="11.25" customHeight="1">
      <c r="A125" s="63" t="s">
        <v>2257</v>
      </c>
      <c r="B125" s="63" t="s">
        <v>16</v>
      </c>
      <c r="C125" s="63" t="s">
        <v>2723</v>
      </c>
      <c r="D125" s="63" t="s">
        <v>2724</v>
      </c>
      <c r="E125" s="63" t="s">
        <v>2725</v>
      </c>
      <c r="F125" s="63" t="s">
        <v>2395</v>
      </c>
      <c r="G125" s="63" t="s">
        <v>28</v>
      </c>
      <c r="H125" s="63" t="s">
        <v>28</v>
      </c>
      <c r="I125" s="63" t="s">
        <v>809</v>
      </c>
    </row>
    <row r="126" ht="11.25" customHeight="1">
      <c r="A126" s="63" t="s">
        <v>2257</v>
      </c>
      <c r="B126" s="63" t="s">
        <v>16</v>
      </c>
      <c r="C126" s="63" t="s">
        <v>2726</v>
      </c>
      <c r="D126" s="63" t="s">
        <v>2727</v>
      </c>
      <c r="E126" s="63" t="s">
        <v>2728</v>
      </c>
      <c r="F126" s="63" t="s">
        <v>2322</v>
      </c>
      <c r="G126" s="63" t="s">
        <v>28</v>
      </c>
      <c r="H126" s="63" t="s">
        <v>28</v>
      </c>
      <c r="I126" s="63" t="s">
        <v>809</v>
      </c>
    </row>
    <row r="127" ht="11.25" customHeight="1">
      <c r="A127" s="63" t="s">
        <v>2257</v>
      </c>
      <c r="B127" s="63" t="s">
        <v>16</v>
      </c>
      <c r="C127" s="63" t="s">
        <v>2729</v>
      </c>
      <c r="D127" s="63" t="s">
        <v>2730</v>
      </c>
      <c r="E127" s="63" t="s">
        <v>2731</v>
      </c>
      <c r="F127" s="63" t="s">
        <v>2732</v>
      </c>
      <c r="G127" s="63" t="s">
        <v>2733</v>
      </c>
      <c r="H127" s="63" t="s">
        <v>28</v>
      </c>
      <c r="I127" s="63" t="s">
        <v>809</v>
      </c>
    </row>
    <row r="128" ht="11.25" customHeight="1">
      <c r="A128" s="63" t="s">
        <v>2257</v>
      </c>
      <c r="B128" s="63" t="s">
        <v>16</v>
      </c>
      <c r="C128" s="63" t="s">
        <v>2734</v>
      </c>
      <c r="D128" s="63" t="s">
        <v>2735</v>
      </c>
      <c r="E128" s="63" t="s">
        <v>2736</v>
      </c>
      <c r="F128" s="63" t="s">
        <v>2485</v>
      </c>
      <c r="G128" s="63" t="s">
        <v>28</v>
      </c>
      <c r="H128" s="63" t="s">
        <v>28</v>
      </c>
      <c r="I128" s="63" t="s">
        <v>809</v>
      </c>
    </row>
    <row r="129" ht="11.25" customHeight="1">
      <c r="A129" s="63" t="s">
        <v>2257</v>
      </c>
      <c r="B129" s="63" t="s">
        <v>16</v>
      </c>
      <c r="C129" s="63" t="s">
        <v>2737</v>
      </c>
      <c r="D129" s="63" t="s">
        <v>2738</v>
      </c>
      <c r="E129" s="63" t="s">
        <v>2739</v>
      </c>
      <c r="F129" s="63" t="s">
        <v>2391</v>
      </c>
      <c r="G129" s="63" t="s">
        <v>28</v>
      </c>
      <c r="H129" s="63" t="s">
        <v>28</v>
      </c>
      <c r="I129" s="63" t="s">
        <v>809</v>
      </c>
    </row>
    <row r="130" ht="11.25" customHeight="1">
      <c r="A130" s="63" t="s">
        <v>2257</v>
      </c>
      <c r="B130" s="63" t="s">
        <v>16</v>
      </c>
      <c r="C130" s="63" t="s">
        <v>2740</v>
      </c>
      <c r="D130" s="63" t="s">
        <v>2741</v>
      </c>
      <c r="E130" s="63" t="s">
        <v>2742</v>
      </c>
      <c r="F130" s="63" t="s">
        <v>2743</v>
      </c>
      <c r="G130" s="63" t="s">
        <v>28</v>
      </c>
      <c r="H130" s="63" t="s">
        <v>28</v>
      </c>
      <c r="I130" s="63" t="s">
        <v>809</v>
      </c>
    </row>
    <row r="131" ht="11.25" customHeight="1">
      <c r="A131" s="63" t="s">
        <v>2257</v>
      </c>
      <c r="B131" s="63" t="s">
        <v>16</v>
      </c>
      <c r="C131" s="63" t="s">
        <v>2744</v>
      </c>
      <c r="D131" s="63" t="s">
        <v>2745</v>
      </c>
      <c r="E131" s="63" t="s">
        <v>2746</v>
      </c>
      <c r="F131" s="63" t="s">
        <v>2364</v>
      </c>
      <c r="G131" s="63" t="s">
        <v>28</v>
      </c>
      <c r="H131" s="63" t="s">
        <v>28</v>
      </c>
      <c r="I131" s="63" t="s">
        <v>809</v>
      </c>
    </row>
    <row r="132" ht="11.25" customHeight="1">
      <c r="A132" s="63" t="s">
        <v>2257</v>
      </c>
      <c r="B132" s="63" t="s">
        <v>16</v>
      </c>
      <c r="C132" s="63" t="s">
        <v>2747</v>
      </c>
      <c r="D132" s="63" t="s">
        <v>2748</v>
      </c>
      <c r="E132" s="63" t="s">
        <v>2749</v>
      </c>
      <c r="F132" s="63" t="s">
        <v>2750</v>
      </c>
      <c r="G132" s="63" t="s">
        <v>2751</v>
      </c>
      <c r="H132" s="63" t="s">
        <v>28</v>
      </c>
      <c r="I132" s="63" t="s">
        <v>809</v>
      </c>
    </row>
    <row r="133" ht="11.25" customHeight="1">
      <c r="A133" s="63" t="s">
        <v>2257</v>
      </c>
      <c r="B133" s="63" t="s">
        <v>16</v>
      </c>
      <c r="C133" s="63" t="s">
        <v>2752</v>
      </c>
      <c r="D133" s="63" t="s">
        <v>2753</v>
      </c>
      <c r="E133" s="63" t="s">
        <v>2754</v>
      </c>
      <c r="F133" s="63" t="s">
        <v>2591</v>
      </c>
      <c r="G133" s="63" t="s">
        <v>2755</v>
      </c>
      <c r="H133" s="63" t="s">
        <v>28</v>
      </c>
      <c r="I133" s="63" t="s">
        <v>809</v>
      </c>
    </row>
    <row r="134" ht="11.25" customHeight="1">
      <c r="A134" s="63" t="s">
        <v>2257</v>
      </c>
      <c r="B134" s="63" t="s">
        <v>16</v>
      </c>
      <c r="C134" s="63" t="s">
        <v>2756</v>
      </c>
      <c r="D134" s="63" t="s">
        <v>2757</v>
      </c>
      <c r="E134" s="63" t="s">
        <v>2758</v>
      </c>
      <c r="F134" s="63" t="s">
        <v>2364</v>
      </c>
      <c r="G134" s="63" t="s">
        <v>28</v>
      </c>
      <c r="H134" s="63" t="s">
        <v>28</v>
      </c>
      <c r="I134" s="63" t="s">
        <v>809</v>
      </c>
    </row>
    <row r="135" ht="11.25" customHeight="1">
      <c r="A135" s="63" t="s">
        <v>2257</v>
      </c>
      <c r="B135" s="63" t="s">
        <v>16</v>
      </c>
      <c r="C135" s="63" t="s">
        <v>2759</v>
      </c>
      <c r="D135" s="63" t="s">
        <v>2760</v>
      </c>
      <c r="E135" s="63" t="s">
        <v>2761</v>
      </c>
      <c r="F135" s="63" t="s">
        <v>2762</v>
      </c>
      <c r="G135" s="63" t="s">
        <v>28</v>
      </c>
      <c r="H135" s="63" t="s">
        <v>28</v>
      </c>
      <c r="I135" s="63" t="s">
        <v>809</v>
      </c>
    </row>
    <row r="136" ht="11.25" customHeight="1">
      <c r="A136" s="63" t="s">
        <v>2257</v>
      </c>
      <c r="B136" s="63" t="s">
        <v>16</v>
      </c>
      <c r="C136" s="63" t="s">
        <v>2763</v>
      </c>
      <c r="D136" s="63" t="s">
        <v>2764</v>
      </c>
      <c r="E136" s="63" t="s">
        <v>2765</v>
      </c>
      <c r="F136" s="63" t="s">
        <v>2322</v>
      </c>
      <c r="G136" s="63" t="s">
        <v>28</v>
      </c>
      <c r="H136" s="63" t="s">
        <v>28</v>
      </c>
      <c r="I136" s="63" t="s">
        <v>809</v>
      </c>
    </row>
    <row r="137" ht="11.25" customHeight="1">
      <c r="A137" s="63" t="s">
        <v>2257</v>
      </c>
      <c r="B137" s="63" t="s">
        <v>16</v>
      </c>
      <c r="C137" s="63" t="s">
        <v>2766</v>
      </c>
      <c r="D137" s="63" t="s">
        <v>2764</v>
      </c>
      <c r="E137" s="63" t="s">
        <v>2767</v>
      </c>
      <c r="F137" s="63" t="s">
        <v>2293</v>
      </c>
      <c r="G137" s="63" t="s">
        <v>28</v>
      </c>
      <c r="H137" s="63" t="s">
        <v>28</v>
      </c>
      <c r="I137" s="63" t="s">
        <v>809</v>
      </c>
    </row>
    <row r="138" ht="11.25" customHeight="1">
      <c r="A138" s="63" t="s">
        <v>2257</v>
      </c>
      <c r="B138" s="63" t="s">
        <v>16</v>
      </c>
      <c r="C138" s="63" t="s">
        <v>2768</v>
      </c>
      <c r="D138" s="63" t="s">
        <v>2769</v>
      </c>
      <c r="E138" s="63" t="s">
        <v>2431</v>
      </c>
      <c r="F138" s="63" t="s">
        <v>2770</v>
      </c>
      <c r="G138" s="63" t="s">
        <v>28</v>
      </c>
      <c r="H138" s="63" t="s">
        <v>28</v>
      </c>
      <c r="I138" s="63" t="s">
        <v>809</v>
      </c>
    </row>
    <row r="139" ht="11.25" customHeight="1">
      <c r="A139" s="63" t="s">
        <v>2257</v>
      </c>
      <c r="B139" s="63" t="s">
        <v>16</v>
      </c>
      <c r="C139" s="63" t="s">
        <v>2771</v>
      </c>
      <c r="D139" s="63" t="s">
        <v>2772</v>
      </c>
      <c r="E139" s="63" t="s">
        <v>2773</v>
      </c>
      <c r="F139" s="63" t="s">
        <v>2774</v>
      </c>
      <c r="G139" s="63" t="s">
        <v>2775</v>
      </c>
      <c r="H139" s="63" t="s">
        <v>28</v>
      </c>
      <c r="I139" s="63" t="s">
        <v>809</v>
      </c>
    </row>
    <row r="140" ht="11.25" customHeight="1">
      <c r="A140" s="63" t="s">
        <v>2257</v>
      </c>
      <c r="B140" s="63" t="s">
        <v>16</v>
      </c>
      <c r="C140" s="63" t="s">
        <v>2776</v>
      </c>
      <c r="D140" s="63" t="s">
        <v>2777</v>
      </c>
      <c r="E140" s="63" t="s">
        <v>2778</v>
      </c>
      <c r="F140" s="63" t="s">
        <v>2485</v>
      </c>
      <c r="G140" s="63" t="s">
        <v>2779</v>
      </c>
      <c r="H140" s="63" t="s">
        <v>28</v>
      </c>
      <c r="I140" s="63" t="s">
        <v>809</v>
      </c>
    </row>
    <row r="141" ht="11.25" customHeight="1">
      <c r="A141" s="63" t="s">
        <v>2257</v>
      </c>
      <c r="B141" s="63" t="s">
        <v>16</v>
      </c>
      <c r="C141" s="63" t="s">
        <v>2780</v>
      </c>
      <c r="D141" s="63" t="s">
        <v>2781</v>
      </c>
      <c r="E141" s="63" t="s">
        <v>2782</v>
      </c>
      <c r="F141" s="63" t="s">
        <v>2391</v>
      </c>
      <c r="G141" s="63" t="s">
        <v>28</v>
      </c>
      <c r="H141" s="63" t="s">
        <v>28</v>
      </c>
      <c r="I141" s="63" t="s">
        <v>809</v>
      </c>
    </row>
    <row r="142" ht="11.25" customHeight="1">
      <c r="A142" s="63" t="s">
        <v>2257</v>
      </c>
      <c r="B142" s="63" t="s">
        <v>16</v>
      </c>
      <c r="C142" s="63" t="s">
        <v>2783</v>
      </c>
      <c r="D142" s="63" t="s">
        <v>2784</v>
      </c>
      <c r="E142" s="63" t="s">
        <v>2785</v>
      </c>
      <c r="F142" s="63" t="s">
        <v>2293</v>
      </c>
      <c r="G142" s="63" t="s">
        <v>2786</v>
      </c>
      <c r="H142" s="63" t="s">
        <v>28</v>
      </c>
      <c r="I142" s="63" t="s">
        <v>809</v>
      </c>
    </row>
    <row r="143" ht="11.25" customHeight="1">
      <c r="A143" s="63" t="s">
        <v>2257</v>
      </c>
      <c r="B143" s="63" t="s">
        <v>16</v>
      </c>
      <c r="C143" s="63" t="s">
        <v>2787</v>
      </c>
      <c r="D143" s="63" t="s">
        <v>2788</v>
      </c>
      <c r="E143" s="63" t="s">
        <v>2789</v>
      </c>
      <c r="F143" s="63" t="s">
        <v>2306</v>
      </c>
      <c r="G143" s="63" t="s">
        <v>28</v>
      </c>
      <c r="H143" s="63" t="s">
        <v>28</v>
      </c>
      <c r="I143" s="63" t="s">
        <v>809</v>
      </c>
    </row>
    <row r="144" ht="11.25" customHeight="1">
      <c r="A144" s="63" t="s">
        <v>2257</v>
      </c>
      <c r="B144" s="63" t="s">
        <v>16</v>
      </c>
      <c r="C144" s="63" t="s">
        <v>2790</v>
      </c>
      <c r="D144" s="63" t="s">
        <v>2791</v>
      </c>
      <c r="E144" s="63" t="s">
        <v>2792</v>
      </c>
      <c r="F144" s="63" t="s">
        <v>2743</v>
      </c>
      <c r="G144" s="63" t="s">
        <v>28</v>
      </c>
      <c r="H144" s="63" t="s">
        <v>28</v>
      </c>
      <c r="I144" s="63" t="s">
        <v>809</v>
      </c>
    </row>
    <row r="145" ht="11.25" customHeight="1">
      <c r="A145" s="63" t="s">
        <v>2257</v>
      </c>
      <c r="B145" s="63" t="s">
        <v>16</v>
      </c>
      <c r="C145" s="63" t="s">
        <v>2793</v>
      </c>
      <c r="D145" s="63" t="s">
        <v>2794</v>
      </c>
      <c r="E145" s="63" t="s">
        <v>2795</v>
      </c>
      <c r="F145" s="63" t="s">
        <v>2485</v>
      </c>
      <c r="G145" s="63" t="s">
        <v>28</v>
      </c>
      <c r="H145" s="63" t="s">
        <v>28</v>
      </c>
      <c r="I145" s="63" t="s">
        <v>809</v>
      </c>
    </row>
    <row r="146" ht="11.25" customHeight="1">
      <c r="A146" s="63" t="s">
        <v>2257</v>
      </c>
      <c r="B146" s="63" t="s">
        <v>16</v>
      </c>
      <c r="C146" s="63" t="s">
        <v>2796</v>
      </c>
      <c r="D146" s="63" t="s">
        <v>2797</v>
      </c>
      <c r="E146" s="63" t="s">
        <v>2798</v>
      </c>
      <c r="F146" s="63" t="s">
        <v>2288</v>
      </c>
      <c r="G146" s="63" t="s">
        <v>28</v>
      </c>
      <c r="H146" s="63" t="s">
        <v>28</v>
      </c>
      <c r="I146" s="63" t="s">
        <v>809</v>
      </c>
    </row>
    <row r="147" ht="11.25" customHeight="1">
      <c r="A147" s="63" t="s">
        <v>2257</v>
      </c>
      <c r="B147" s="63" t="s">
        <v>16</v>
      </c>
      <c r="C147" s="63" t="s">
        <v>2799</v>
      </c>
      <c r="D147" s="63" t="s">
        <v>2800</v>
      </c>
      <c r="E147" s="63" t="s">
        <v>2801</v>
      </c>
      <c r="F147" s="63" t="s">
        <v>2293</v>
      </c>
      <c r="G147" s="63" t="s">
        <v>2802</v>
      </c>
      <c r="H147" s="63" t="s">
        <v>28</v>
      </c>
      <c r="I147" s="63" t="s">
        <v>809</v>
      </c>
    </row>
    <row r="148" ht="11.25" customHeight="1">
      <c r="A148" s="63" t="s">
        <v>2257</v>
      </c>
      <c r="B148" s="63" t="s">
        <v>16</v>
      </c>
      <c r="C148" s="63" t="s">
        <v>2803</v>
      </c>
      <c r="D148" s="63" t="s">
        <v>2804</v>
      </c>
      <c r="E148" s="63" t="s">
        <v>2805</v>
      </c>
      <c r="F148" s="63" t="s">
        <v>2293</v>
      </c>
      <c r="G148" s="63" t="s">
        <v>28</v>
      </c>
      <c r="H148" s="63" t="s">
        <v>28</v>
      </c>
      <c r="I148" s="63" t="s">
        <v>809</v>
      </c>
    </row>
    <row r="149" ht="11.25" customHeight="1">
      <c r="A149" s="63" t="s">
        <v>2257</v>
      </c>
      <c r="B149" s="63" t="s">
        <v>16</v>
      </c>
      <c r="C149" s="63" t="s">
        <v>2806</v>
      </c>
      <c r="D149" s="63" t="s">
        <v>2807</v>
      </c>
      <c r="E149" s="63" t="s">
        <v>2808</v>
      </c>
      <c r="F149" s="63" t="s">
        <v>2407</v>
      </c>
      <c r="G149" s="63" t="s">
        <v>28</v>
      </c>
      <c r="H149" s="63" t="s">
        <v>28</v>
      </c>
      <c r="I149" s="63" t="s">
        <v>809</v>
      </c>
    </row>
    <row r="150" ht="11.25" customHeight="1">
      <c r="A150" s="63" t="s">
        <v>2257</v>
      </c>
      <c r="B150" s="63" t="s">
        <v>16</v>
      </c>
      <c r="C150" s="63" t="s">
        <v>2809</v>
      </c>
      <c r="D150" s="63" t="s">
        <v>2810</v>
      </c>
      <c r="E150" s="63" t="s">
        <v>2811</v>
      </c>
      <c r="F150" s="63" t="s">
        <v>2322</v>
      </c>
      <c r="G150" s="63" t="s">
        <v>28</v>
      </c>
      <c r="H150" s="63" t="s">
        <v>28</v>
      </c>
      <c r="I150" s="63" t="s">
        <v>809</v>
      </c>
    </row>
    <row r="151" ht="11.25" customHeight="1">
      <c r="A151" s="63" t="s">
        <v>2257</v>
      </c>
      <c r="B151" s="63" t="s">
        <v>16</v>
      </c>
      <c r="C151" s="63" t="s">
        <v>2812</v>
      </c>
      <c r="D151" s="63" t="s">
        <v>2813</v>
      </c>
      <c r="E151" s="63" t="s">
        <v>2814</v>
      </c>
      <c r="F151" s="63" t="s">
        <v>2407</v>
      </c>
      <c r="G151" s="63" t="s">
        <v>2815</v>
      </c>
      <c r="H151" s="63" t="s">
        <v>28</v>
      </c>
      <c r="I151" s="63" t="s">
        <v>809</v>
      </c>
    </row>
    <row r="152" ht="11.25" customHeight="1">
      <c r="A152" s="63" t="s">
        <v>2257</v>
      </c>
      <c r="B152" s="63" t="s">
        <v>16</v>
      </c>
      <c r="C152" s="63" t="s">
        <v>2816</v>
      </c>
      <c r="D152" s="63" t="s">
        <v>2817</v>
      </c>
      <c r="E152" s="63" t="s">
        <v>2818</v>
      </c>
      <c r="F152" s="63" t="s">
        <v>2391</v>
      </c>
      <c r="G152" s="63" t="s">
        <v>2819</v>
      </c>
      <c r="H152" s="63" t="s">
        <v>28</v>
      </c>
      <c r="I152" s="63" t="s">
        <v>809</v>
      </c>
    </row>
    <row r="153" ht="11.25" customHeight="1">
      <c r="A153" s="63" t="s">
        <v>2257</v>
      </c>
      <c r="B153" s="63" t="s">
        <v>16</v>
      </c>
      <c r="C153" s="63" t="s">
        <v>2820</v>
      </c>
      <c r="D153" s="63" t="s">
        <v>2821</v>
      </c>
      <c r="E153" s="63" t="s">
        <v>2822</v>
      </c>
      <c r="F153" s="63" t="s">
        <v>2322</v>
      </c>
      <c r="G153" s="63" t="s">
        <v>28</v>
      </c>
      <c r="H153" s="63" t="s">
        <v>28</v>
      </c>
      <c r="I153" s="63" t="s">
        <v>809</v>
      </c>
    </row>
    <row r="154" ht="11.25" customHeight="1">
      <c r="A154" s="63" t="s">
        <v>2257</v>
      </c>
      <c r="B154" s="63" t="s">
        <v>16</v>
      </c>
      <c r="C154" s="63" t="s">
        <v>2823</v>
      </c>
      <c r="D154" s="63" t="s">
        <v>2824</v>
      </c>
      <c r="E154" s="63" t="s">
        <v>2825</v>
      </c>
      <c r="F154" s="63" t="s">
        <v>2293</v>
      </c>
      <c r="G154" s="63" t="s">
        <v>28</v>
      </c>
      <c r="H154" s="63" t="s">
        <v>28</v>
      </c>
      <c r="I154" s="63" t="s">
        <v>809</v>
      </c>
    </row>
    <row r="155" ht="11.25" customHeight="1">
      <c r="A155" s="63" t="s">
        <v>2257</v>
      </c>
      <c r="B155" s="63" t="s">
        <v>16</v>
      </c>
      <c r="C155" s="63" t="s">
        <v>2826</v>
      </c>
      <c r="D155" s="63" t="s">
        <v>2827</v>
      </c>
      <c r="E155" s="63" t="s">
        <v>2828</v>
      </c>
      <c r="F155" s="63" t="s">
        <v>2395</v>
      </c>
      <c r="G155" s="63" t="s">
        <v>28</v>
      </c>
      <c r="H155" s="63" t="s">
        <v>28</v>
      </c>
      <c r="I155" s="63" t="s">
        <v>809</v>
      </c>
    </row>
    <row r="156" ht="11.25" customHeight="1">
      <c r="A156" s="63" t="s">
        <v>2257</v>
      </c>
      <c r="B156" s="63" t="s">
        <v>16</v>
      </c>
      <c r="C156" s="63" t="s">
        <v>2829</v>
      </c>
      <c r="D156" s="63" t="s">
        <v>2830</v>
      </c>
      <c r="E156" s="63" t="s">
        <v>2831</v>
      </c>
      <c r="F156" s="63" t="s">
        <v>2322</v>
      </c>
      <c r="G156" s="63" t="s">
        <v>2832</v>
      </c>
      <c r="H156" s="63" t="s">
        <v>28</v>
      </c>
      <c r="I156" s="63" t="s">
        <v>809</v>
      </c>
    </row>
    <row r="157" ht="11.25" customHeight="1">
      <c r="A157" s="63" t="s">
        <v>2257</v>
      </c>
      <c r="B157" s="63" t="s">
        <v>16</v>
      </c>
      <c r="C157" s="63" t="s">
        <v>2833</v>
      </c>
      <c r="D157" s="63" t="s">
        <v>2834</v>
      </c>
      <c r="E157" s="63" t="s">
        <v>2835</v>
      </c>
      <c r="F157" s="63" t="s">
        <v>2591</v>
      </c>
      <c r="G157" s="63" t="s">
        <v>28</v>
      </c>
      <c r="H157" s="63" t="s">
        <v>28</v>
      </c>
      <c r="I157" s="63" t="s">
        <v>809</v>
      </c>
    </row>
    <row r="158" ht="11.25" customHeight="1">
      <c r="A158" s="63" t="s">
        <v>2257</v>
      </c>
      <c r="B158" s="63" t="s">
        <v>16</v>
      </c>
      <c r="C158" s="63" t="s">
        <v>2836</v>
      </c>
      <c r="D158" s="63" t="s">
        <v>2837</v>
      </c>
      <c r="E158" s="63" t="s">
        <v>2838</v>
      </c>
      <c r="F158" s="63" t="s">
        <v>2391</v>
      </c>
      <c r="G158" s="63" t="s">
        <v>28</v>
      </c>
      <c r="H158" s="63" t="s">
        <v>28</v>
      </c>
      <c r="I158" s="63" t="s">
        <v>809</v>
      </c>
    </row>
    <row r="159" ht="11.25" customHeight="1">
      <c r="A159" s="63" t="s">
        <v>2257</v>
      </c>
      <c r="B159" s="63" t="s">
        <v>16</v>
      </c>
      <c r="C159" s="63" t="s">
        <v>2839</v>
      </c>
      <c r="D159" s="63" t="s">
        <v>2840</v>
      </c>
      <c r="E159" s="63" t="s">
        <v>2841</v>
      </c>
      <c r="F159" s="63" t="s">
        <v>2315</v>
      </c>
      <c r="G159" s="63" t="s">
        <v>28</v>
      </c>
      <c r="H159" s="63" t="s">
        <v>28</v>
      </c>
      <c r="I159" s="63" t="s">
        <v>809</v>
      </c>
    </row>
    <row r="160" ht="11.25" customHeight="1">
      <c r="A160" s="63" t="s">
        <v>2257</v>
      </c>
      <c r="B160" s="63" t="s">
        <v>16</v>
      </c>
      <c r="C160" s="63" t="s">
        <v>2842</v>
      </c>
      <c r="D160" s="63" t="s">
        <v>2843</v>
      </c>
      <c r="E160" s="63" t="s">
        <v>2844</v>
      </c>
      <c r="F160" s="63" t="s">
        <v>2750</v>
      </c>
      <c r="G160" s="63" t="s">
        <v>28</v>
      </c>
      <c r="H160" s="63" t="s">
        <v>28</v>
      </c>
      <c r="I160" s="63" t="s">
        <v>809</v>
      </c>
    </row>
    <row r="161" ht="11.25" customHeight="1">
      <c r="A161" s="63" t="s">
        <v>2257</v>
      </c>
      <c r="B161" s="63" t="s">
        <v>16</v>
      </c>
      <c r="C161" s="63" t="s">
        <v>2845</v>
      </c>
      <c r="D161" s="63" t="s">
        <v>2846</v>
      </c>
      <c r="E161" s="63" t="s">
        <v>2847</v>
      </c>
      <c r="F161" s="63" t="s">
        <v>2330</v>
      </c>
      <c r="G161" s="63" t="s">
        <v>28</v>
      </c>
      <c r="H161" s="63" t="s">
        <v>28</v>
      </c>
      <c r="I161" s="63" t="s">
        <v>809</v>
      </c>
    </row>
    <row r="162" ht="11.25" customHeight="1">
      <c r="A162" s="63" t="s">
        <v>2257</v>
      </c>
      <c r="B162" s="63" t="s">
        <v>16</v>
      </c>
      <c r="C162" s="63" t="s">
        <v>2848</v>
      </c>
      <c r="D162" s="63" t="s">
        <v>2849</v>
      </c>
      <c r="E162" s="63" t="s">
        <v>2850</v>
      </c>
      <c r="F162" s="63" t="s">
        <v>2293</v>
      </c>
      <c r="G162" s="63" t="s">
        <v>28</v>
      </c>
      <c r="H162" s="63" t="s">
        <v>28</v>
      </c>
      <c r="I162" s="63" t="s">
        <v>809</v>
      </c>
    </row>
    <row r="163" ht="11.25" customHeight="1">
      <c r="A163" s="63" t="s">
        <v>2257</v>
      </c>
      <c r="B163" s="63" t="s">
        <v>16</v>
      </c>
      <c r="C163" s="63" t="s">
        <v>2851</v>
      </c>
      <c r="D163" s="63" t="s">
        <v>2852</v>
      </c>
      <c r="E163" s="63" t="s">
        <v>2853</v>
      </c>
      <c r="F163" s="63" t="s">
        <v>2854</v>
      </c>
      <c r="G163" s="63" t="s">
        <v>28</v>
      </c>
      <c r="H163" s="63" t="s">
        <v>28</v>
      </c>
      <c r="I163" s="63" t="s">
        <v>809</v>
      </c>
    </row>
    <row r="164" ht="11.25" customHeight="1">
      <c r="A164" s="63" t="s">
        <v>2257</v>
      </c>
      <c r="B164" s="63" t="s">
        <v>16</v>
      </c>
      <c r="C164" s="63" t="s">
        <v>2855</v>
      </c>
      <c r="D164" s="63" t="s">
        <v>2856</v>
      </c>
      <c r="E164" s="63" t="s">
        <v>2857</v>
      </c>
      <c r="F164" s="63" t="s">
        <v>2391</v>
      </c>
      <c r="G164" s="63" t="s">
        <v>2858</v>
      </c>
      <c r="H164" s="63" t="s">
        <v>28</v>
      </c>
      <c r="I164" s="63" t="s">
        <v>809</v>
      </c>
    </row>
    <row r="165" ht="11.25" customHeight="1">
      <c r="A165" s="63" t="s">
        <v>2257</v>
      </c>
      <c r="B165" s="63" t="s">
        <v>16</v>
      </c>
      <c r="C165" s="63" t="s">
        <v>2859</v>
      </c>
      <c r="D165" s="63" t="s">
        <v>2860</v>
      </c>
      <c r="E165" s="63" t="s">
        <v>2861</v>
      </c>
      <c r="F165" s="63" t="s">
        <v>2364</v>
      </c>
      <c r="G165" s="63" t="s">
        <v>2862</v>
      </c>
      <c r="H165" s="63" t="s">
        <v>28</v>
      </c>
      <c r="I165" s="63" t="s">
        <v>809</v>
      </c>
    </row>
    <row r="166" ht="11.25" customHeight="1">
      <c r="A166" s="63" t="s">
        <v>2257</v>
      </c>
      <c r="B166" s="63" t="s">
        <v>16</v>
      </c>
      <c r="C166" s="63" t="s">
        <v>2863</v>
      </c>
      <c r="D166" s="63" t="s">
        <v>2864</v>
      </c>
      <c r="E166" s="63" t="s">
        <v>2865</v>
      </c>
      <c r="F166" s="63" t="s">
        <v>2275</v>
      </c>
      <c r="G166" s="63" t="s">
        <v>28</v>
      </c>
      <c r="H166" s="63" t="s">
        <v>28</v>
      </c>
      <c r="I166" s="63" t="s">
        <v>809</v>
      </c>
    </row>
    <row r="167" ht="11.25" customHeight="1">
      <c r="A167" s="63" t="s">
        <v>2257</v>
      </c>
      <c r="B167" s="63" t="s">
        <v>16</v>
      </c>
      <c r="C167" s="63" t="s">
        <v>2866</v>
      </c>
      <c r="D167" s="63" t="s">
        <v>2867</v>
      </c>
      <c r="E167" s="63" t="s">
        <v>2868</v>
      </c>
      <c r="F167" s="63" t="s">
        <v>2322</v>
      </c>
      <c r="G167" s="63" t="s">
        <v>28</v>
      </c>
      <c r="H167" s="63" t="s">
        <v>28</v>
      </c>
      <c r="I167" s="63" t="s">
        <v>809</v>
      </c>
    </row>
    <row r="168" ht="11.25" customHeight="1">
      <c r="A168" s="63" t="s">
        <v>2257</v>
      </c>
      <c r="B168" s="63" t="s">
        <v>16</v>
      </c>
      <c r="C168" s="63" t="s">
        <v>2869</v>
      </c>
      <c r="D168" s="63" t="s">
        <v>2870</v>
      </c>
      <c r="E168" s="63" t="s">
        <v>2871</v>
      </c>
      <c r="F168" s="63" t="s">
        <v>2485</v>
      </c>
      <c r="G168" s="63" t="s">
        <v>2872</v>
      </c>
      <c r="H168" s="63" t="s">
        <v>28</v>
      </c>
      <c r="I168" s="63" t="s">
        <v>809</v>
      </c>
    </row>
    <row r="169" ht="11.25" customHeight="1">
      <c r="A169" s="63" t="s">
        <v>2257</v>
      </c>
      <c r="B169" s="63" t="s">
        <v>16</v>
      </c>
      <c r="C169" s="63" t="s">
        <v>2873</v>
      </c>
      <c r="D169" s="63" t="s">
        <v>2874</v>
      </c>
      <c r="E169" s="63" t="s">
        <v>2875</v>
      </c>
      <c r="F169" s="63" t="s">
        <v>2293</v>
      </c>
      <c r="G169" s="63" t="s">
        <v>2876</v>
      </c>
      <c r="H169" s="63" t="s">
        <v>28</v>
      </c>
      <c r="I169" s="63" t="s">
        <v>809</v>
      </c>
    </row>
    <row r="170" ht="11.25" customHeight="1">
      <c r="A170" s="63" t="s">
        <v>2257</v>
      </c>
      <c r="B170" s="63" t="s">
        <v>16</v>
      </c>
      <c r="C170" s="63" t="s">
        <v>2877</v>
      </c>
      <c r="D170" s="63" t="s">
        <v>2878</v>
      </c>
      <c r="E170" s="63" t="s">
        <v>2879</v>
      </c>
      <c r="F170" s="63" t="s">
        <v>2306</v>
      </c>
      <c r="G170" s="63" t="s">
        <v>2880</v>
      </c>
      <c r="H170" s="63" t="s">
        <v>28</v>
      </c>
      <c r="I170" s="63" t="s">
        <v>809</v>
      </c>
    </row>
    <row r="171" ht="11.25" customHeight="1">
      <c r="A171" s="63" t="s">
        <v>2257</v>
      </c>
      <c r="B171" s="63" t="s">
        <v>16</v>
      </c>
      <c r="C171" s="63" t="s">
        <v>2881</v>
      </c>
      <c r="D171" s="63" t="s">
        <v>2882</v>
      </c>
      <c r="E171" s="63" t="s">
        <v>2883</v>
      </c>
      <c r="F171" s="63" t="s">
        <v>2288</v>
      </c>
      <c r="G171" s="63" t="s">
        <v>28</v>
      </c>
      <c r="H171" s="63" t="s">
        <v>28</v>
      </c>
      <c r="I171" s="63" t="s">
        <v>809</v>
      </c>
    </row>
    <row r="172" ht="11.25" customHeight="1">
      <c r="A172" s="63" t="s">
        <v>2257</v>
      </c>
      <c r="B172" s="63" t="s">
        <v>16</v>
      </c>
      <c r="C172" s="63" t="s">
        <v>2884</v>
      </c>
      <c r="D172" s="63" t="s">
        <v>2885</v>
      </c>
      <c r="E172" s="63" t="s">
        <v>2886</v>
      </c>
      <c r="F172" s="63" t="s">
        <v>2306</v>
      </c>
      <c r="G172" s="63" t="s">
        <v>28</v>
      </c>
      <c r="H172" s="63" t="s">
        <v>28</v>
      </c>
      <c r="I172" s="63" t="s">
        <v>809</v>
      </c>
    </row>
    <row r="173" ht="11.25" customHeight="1">
      <c r="A173" s="63" t="s">
        <v>2257</v>
      </c>
      <c r="B173" s="63" t="s">
        <v>16</v>
      </c>
      <c r="C173" s="63" t="s">
        <v>2887</v>
      </c>
      <c r="D173" s="63" t="s">
        <v>2888</v>
      </c>
      <c r="E173" s="63" t="s">
        <v>2889</v>
      </c>
      <c r="F173" s="63" t="s">
        <v>2890</v>
      </c>
      <c r="G173" s="63" t="s">
        <v>28</v>
      </c>
      <c r="H173" s="63" t="s">
        <v>28</v>
      </c>
      <c r="I173" s="63" t="s">
        <v>809</v>
      </c>
    </row>
    <row r="174" ht="11.25" customHeight="1">
      <c r="A174" s="63" t="s">
        <v>2257</v>
      </c>
      <c r="B174" s="63" t="s">
        <v>16</v>
      </c>
      <c r="C174" s="63" t="s">
        <v>2891</v>
      </c>
      <c r="D174" s="63" t="s">
        <v>2892</v>
      </c>
      <c r="E174" s="63" t="s">
        <v>2893</v>
      </c>
      <c r="F174" s="63" t="s">
        <v>2322</v>
      </c>
      <c r="G174" s="63" t="s">
        <v>2894</v>
      </c>
      <c r="H174" s="63" t="s">
        <v>28</v>
      </c>
      <c r="I174" s="63" t="s">
        <v>809</v>
      </c>
    </row>
    <row r="175" ht="11.25" customHeight="1">
      <c r="A175" s="63" t="s">
        <v>2257</v>
      </c>
      <c r="B175" s="63" t="s">
        <v>16</v>
      </c>
      <c r="C175" s="63" t="s">
        <v>2895</v>
      </c>
      <c r="D175" s="63" t="s">
        <v>2896</v>
      </c>
      <c r="E175" s="63" t="s">
        <v>2897</v>
      </c>
      <c r="F175" s="63" t="s">
        <v>2407</v>
      </c>
      <c r="G175" s="63" t="s">
        <v>2898</v>
      </c>
      <c r="H175" s="63" t="s">
        <v>28</v>
      </c>
      <c r="I175" s="63" t="s">
        <v>809</v>
      </c>
    </row>
    <row r="176" ht="11.25" customHeight="1">
      <c r="A176" s="63" t="s">
        <v>2257</v>
      </c>
      <c r="B176" s="63" t="s">
        <v>16</v>
      </c>
      <c r="C176" s="63" t="s">
        <v>2899</v>
      </c>
      <c r="D176" s="63" t="s">
        <v>2900</v>
      </c>
      <c r="E176" s="63" t="s">
        <v>2901</v>
      </c>
      <c r="F176" s="63" t="s">
        <v>2306</v>
      </c>
      <c r="G176" s="63" t="s">
        <v>2902</v>
      </c>
      <c r="H176" s="63" t="s">
        <v>28</v>
      </c>
      <c r="I176" s="63" t="s">
        <v>809</v>
      </c>
    </row>
    <row r="177" ht="11.25" customHeight="1">
      <c r="A177" s="63" t="s">
        <v>2257</v>
      </c>
      <c r="B177" s="63" t="s">
        <v>16</v>
      </c>
      <c r="C177" s="63" t="s">
        <v>2903</v>
      </c>
      <c r="D177" s="63" t="s">
        <v>2904</v>
      </c>
      <c r="E177" s="63" t="s">
        <v>2905</v>
      </c>
      <c r="F177" s="63" t="s">
        <v>2322</v>
      </c>
      <c r="G177" s="63" t="s">
        <v>2906</v>
      </c>
      <c r="H177" s="63" t="s">
        <v>28</v>
      </c>
      <c r="I177" s="63" t="s">
        <v>809</v>
      </c>
    </row>
    <row r="178" ht="11.25" customHeight="1">
      <c r="A178" s="63" t="s">
        <v>2257</v>
      </c>
      <c r="B178" s="63" t="s">
        <v>16</v>
      </c>
      <c r="C178" s="63" t="s">
        <v>2907</v>
      </c>
      <c r="D178" s="63" t="s">
        <v>2908</v>
      </c>
      <c r="E178" s="63" t="s">
        <v>2909</v>
      </c>
      <c r="F178" s="63" t="s">
        <v>2559</v>
      </c>
      <c r="G178" s="63" t="s">
        <v>2910</v>
      </c>
      <c r="H178" s="63" t="s">
        <v>28</v>
      </c>
      <c r="I178" s="63" t="s">
        <v>809</v>
      </c>
    </row>
    <row r="179" ht="11.25" customHeight="1">
      <c r="A179" s="63" t="s">
        <v>2257</v>
      </c>
      <c r="B179" s="63" t="s">
        <v>16</v>
      </c>
      <c r="C179" s="63" t="s">
        <v>2911</v>
      </c>
      <c r="D179" s="63" t="s">
        <v>2912</v>
      </c>
      <c r="E179" s="63" t="s">
        <v>2913</v>
      </c>
      <c r="F179" s="63" t="s">
        <v>2275</v>
      </c>
      <c r="G179" s="63" t="s">
        <v>2914</v>
      </c>
      <c r="H179" s="63" t="s">
        <v>28</v>
      </c>
      <c r="I179" s="63" t="s">
        <v>809</v>
      </c>
    </row>
    <row r="180" ht="11.25" customHeight="1">
      <c r="A180" s="63" t="s">
        <v>2257</v>
      </c>
      <c r="B180" s="63" t="s">
        <v>16</v>
      </c>
      <c r="C180" s="63" t="s">
        <v>2915</v>
      </c>
      <c r="D180" s="63" t="s">
        <v>2916</v>
      </c>
      <c r="E180" s="63" t="s">
        <v>2917</v>
      </c>
      <c r="F180" s="63" t="s">
        <v>2395</v>
      </c>
      <c r="G180" s="63" t="s">
        <v>2918</v>
      </c>
      <c r="H180" s="63" t="s">
        <v>28</v>
      </c>
      <c r="I180" s="63" t="s">
        <v>809</v>
      </c>
    </row>
    <row r="181" ht="11.25" customHeight="1">
      <c r="A181" s="63" t="s">
        <v>2257</v>
      </c>
      <c r="B181" s="63" t="s">
        <v>16</v>
      </c>
      <c r="C181" s="63" t="s">
        <v>2919</v>
      </c>
      <c r="D181" s="63" t="s">
        <v>2920</v>
      </c>
      <c r="E181" s="63" t="s">
        <v>2921</v>
      </c>
      <c r="F181" s="63" t="s">
        <v>2518</v>
      </c>
      <c r="G181" s="63" t="s">
        <v>28</v>
      </c>
      <c r="H181" s="63" t="s">
        <v>28</v>
      </c>
      <c r="I181" s="63" t="s">
        <v>809</v>
      </c>
    </row>
    <row r="182" ht="11.25" customHeight="1">
      <c r="A182" s="63" t="s">
        <v>2257</v>
      </c>
      <c r="B182" s="63" t="s">
        <v>16</v>
      </c>
      <c r="C182" s="63" t="s">
        <v>2922</v>
      </c>
      <c r="D182" s="63" t="s">
        <v>2923</v>
      </c>
      <c r="E182" s="63" t="s">
        <v>2924</v>
      </c>
      <c r="F182" s="63" t="s">
        <v>2315</v>
      </c>
      <c r="G182" s="63" t="s">
        <v>28</v>
      </c>
      <c r="H182" s="63" t="s">
        <v>28</v>
      </c>
      <c r="I182" s="63" t="s">
        <v>809</v>
      </c>
    </row>
    <row r="183" ht="11.25" customHeight="1">
      <c r="A183" s="63" t="s">
        <v>2257</v>
      </c>
      <c r="B183" s="63" t="s">
        <v>16</v>
      </c>
      <c r="C183" s="63" t="s">
        <v>2925</v>
      </c>
      <c r="D183" s="63" t="s">
        <v>2926</v>
      </c>
      <c r="E183" s="63" t="s">
        <v>2927</v>
      </c>
      <c r="F183" s="63" t="s">
        <v>2275</v>
      </c>
      <c r="G183" s="63" t="s">
        <v>2928</v>
      </c>
      <c r="H183" s="63" t="s">
        <v>28</v>
      </c>
      <c r="I183" s="63" t="s">
        <v>809</v>
      </c>
    </row>
    <row r="184" ht="11.25" customHeight="1">
      <c r="A184" s="63" t="s">
        <v>2257</v>
      </c>
      <c r="B184" s="63" t="s">
        <v>16</v>
      </c>
      <c r="C184" s="63" t="s">
        <v>2929</v>
      </c>
      <c r="D184" s="63" t="s">
        <v>2930</v>
      </c>
      <c r="E184" s="63" t="s">
        <v>2931</v>
      </c>
      <c r="F184" s="63" t="s">
        <v>2315</v>
      </c>
      <c r="G184" s="63" t="s">
        <v>2932</v>
      </c>
      <c r="H184" s="63" t="s">
        <v>28</v>
      </c>
      <c r="I184" s="63" t="s">
        <v>809</v>
      </c>
    </row>
    <row r="185" ht="11.25" customHeight="1">
      <c r="A185" s="63" t="s">
        <v>2257</v>
      </c>
      <c r="B185" s="63" t="s">
        <v>16</v>
      </c>
      <c r="C185" s="63" t="s">
        <v>2933</v>
      </c>
      <c r="D185" s="63" t="s">
        <v>2934</v>
      </c>
      <c r="E185" s="63" t="s">
        <v>2935</v>
      </c>
      <c r="F185" s="63" t="s">
        <v>2306</v>
      </c>
      <c r="G185" s="63" t="s">
        <v>28</v>
      </c>
      <c r="H185" s="63" t="s">
        <v>28</v>
      </c>
      <c r="I185" s="63" t="s">
        <v>809</v>
      </c>
    </row>
    <row r="186" ht="11.25" customHeight="1">
      <c r="A186" s="63" t="s">
        <v>2257</v>
      </c>
      <c r="B186" s="63" t="s">
        <v>16</v>
      </c>
      <c r="C186" s="63" t="s">
        <v>2936</v>
      </c>
      <c r="D186" s="63" t="s">
        <v>2937</v>
      </c>
      <c r="E186" s="63" t="s">
        <v>2938</v>
      </c>
      <c r="F186" s="63" t="s">
        <v>2939</v>
      </c>
      <c r="G186" s="63" t="s">
        <v>2940</v>
      </c>
      <c r="H186" s="63" t="s">
        <v>28</v>
      </c>
      <c r="I186" s="63" t="s">
        <v>809</v>
      </c>
    </row>
    <row r="187" ht="11.25" customHeight="1">
      <c r="A187" s="63" t="s">
        <v>2257</v>
      </c>
      <c r="B187" s="63" t="s">
        <v>16</v>
      </c>
      <c r="C187" s="63" t="s">
        <v>2941</v>
      </c>
      <c r="D187" s="63" t="s">
        <v>2942</v>
      </c>
      <c r="E187" s="63" t="s">
        <v>2943</v>
      </c>
      <c r="F187" s="63" t="s">
        <v>2275</v>
      </c>
      <c r="G187" s="63" t="s">
        <v>28</v>
      </c>
      <c r="H187" s="63" t="s">
        <v>28</v>
      </c>
      <c r="I187" s="63" t="s">
        <v>809</v>
      </c>
    </row>
    <row r="188" ht="11.25" customHeight="1">
      <c r="A188" s="63" t="s">
        <v>2257</v>
      </c>
      <c r="B188" s="63" t="s">
        <v>16</v>
      </c>
      <c r="C188" s="63" t="s">
        <v>2944</v>
      </c>
      <c r="D188" s="63" t="s">
        <v>2945</v>
      </c>
      <c r="E188" s="63" t="s">
        <v>2946</v>
      </c>
      <c r="F188" s="63" t="s">
        <v>2288</v>
      </c>
      <c r="G188" s="63" t="s">
        <v>28</v>
      </c>
      <c r="H188" s="63" t="s">
        <v>28</v>
      </c>
      <c r="I188" s="63" t="s">
        <v>809</v>
      </c>
    </row>
    <row r="189" ht="11.25" customHeight="1">
      <c r="A189" s="63" t="s">
        <v>2257</v>
      </c>
      <c r="B189" s="63" t="s">
        <v>16</v>
      </c>
      <c r="C189" s="63" t="s">
        <v>2947</v>
      </c>
      <c r="D189" s="63" t="s">
        <v>2948</v>
      </c>
      <c r="E189" s="63" t="s">
        <v>2949</v>
      </c>
      <c r="F189" s="63" t="s">
        <v>2743</v>
      </c>
      <c r="G189" s="63" t="s">
        <v>2950</v>
      </c>
      <c r="H189" s="63" t="s">
        <v>28</v>
      </c>
      <c r="I189" s="63" t="s">
        <v>809</v>
      </c>
    </row>
    <row r="190" ht="11.25" customHeight="1">
      <c r="A190" s="63" t="s">
        <v>2257</v>
      </c>
      <c r="B190" s="63" t="s">
        <v>16</v>
      </c>
      <c r="C190" s="63" t="s">
        <v>2951</v>
      </c>
      <c r="D190" s="63" t="s">
        <v>2952</v>
      </c>
      <c r="E190" s="63" t="s">
        <v>2953</v>
      </c>
      <c r="F190" s="63" t="s">
        <v>2298</v>
      </c>
      <c r="G190" s="63" t="s">
        <v>2954</v>
      </c>
      <c r="H190" s="63" t="s">
        <v>28</v>
      </c>
      <c r="I190" s="63" t="s">
        <v>809</v>
      </c>
    </row>
    <row r="191" ht="11.25" customHeight="1">
      <c r="A191" s="63" t="s">
        <v>2257</v>
      </c>
      <c r="B191" s="63" t="s">
        <v>16</v>
      </c>
      <c r="C191" s="63" t="s">
        <v>2955</v>
      </c>
      <c r="D191" s="63" t="s">
        <v>2956</v>
      </c>
      <c r="E191" s="63" t="s">
        <v>2957</v>
      </c>
      <c r="F191" s="63" t="s">
        <v>2298</v>
      </c>
      <c r="G191" s="63" t="s">
        <v>2958</v>
      </c>
      <c r="H191" s="63" t="s">
        <v>28</v>
      </c>
      <c r="I191" s="63" t="s">
        <v>809</v>
      </c>
    </row>
    <row r="192" ht="11.25" customHeight="1">
      <c r="A192" s="63" t="s">
        <v>2257</v>
      </c>
      <c r="B192" s="63" t="s">
        <v>16</v>
      </c>
      <c r="C192" s="63" t="s">
        <v>2959</v>
      </c>
      <c r="D192" s="63" t="s">
        <v>2960</v>
      </c>
      <c r="E192" s="63" t="s">
        <v>2961</v>
      </c>
      <c r="F192" s="63" t="s">
        <v>2288</v>
      </c>
      <c r="G192" s="63" t="s">
        <v>2962</v>
      </c>
      <c r="H192" s="63" t="s">
        <v>28</v>
      </c>
      <c r="I192" s="63" t="s">
        <v>809</v>
      </c>
    </row>
    <row r="193" ht="11.25" customHeight="1">
      <c r="A193" s="63" t="s">
        <v>2257</v>
      </c>
      <c r="B193" s="63" t="s">
        <v>16</v>
      </c>
      <c r="C193" s="63" t="s">
        <v>2963</v>
      </c>
      <c r="D193" s="63" t="s">
        <v>2964</v>
      </c>
      <c r="E193" s="63" t="s">
        <v>2965</v>
      </c>
      <c r="F193" s="63" t="s">
        <v>2322</v>
      </c>
      <c r="G193" s="63" t="s">
        <v>28</v>
      </c>
      <c r="H193" s="63" t="s">
        <v>28</v>
      </c>
      <c r="I193" s="63" t="s">
        <v>809</v>
      </c>
    </row>
    <row r="194" ht="11.25" customHeight="1">
      <c r="A194" s="63" t="s">
        <v>2257</v>
      </c>
      <c r="B194" s="63" t="s">
        <v>16</v>
      </c>
      <c r="C194" s="63" t="s">
        <v>2966</v>
      </c>
      <c r="D194" s="63" t="s">
        <v>2964</v>
      </c>
      <c r="E194" s="63" t="s">
        <v>2965</v>
      </c>
      <c r="F194" s="63" t="s">
        <v>2306</v>
      </c>
      <c r="G194" s="63" t="s">
        <v>28</v>
      </c>
      <c r="H194" s="63" t="s">
        <v>28</v>
      </c>
      <c r="I194" s="63" t="s">
        <v>809</v>
      </c>
    </row>
    <row r="195" ht="11.25" customHeight="1">
      <c r="A195" s="63" t="s">
        <v>2257</v>
      </c>
      <c r="B195" s="63" t="s">
        <v>16</v>
      </c>
      <c r="C195" s="63" t="s">
        <v>2967</v>
      </c>
      <c r="D195" s="63" t="s">
        <v>2968</v>
      </c>
      <c r="E195" s="63" t="s">
        <v>2969</v>
      </c>
      <c r="F195" s="63" t="s">
        <v>2306</v>
      </c>
      <c r="G195" s="63" t="s">
        <v>2970</v>
      </c>
      <c r="H195" s="63" t="s">
        <v>28</v>
      </c>
      <c r="I195" s="63" t="s">
        <v>809</v>
      </c>
    </row>
    <row r="196" ht="11.25" customHeight="1">
      <c r="A196" s="63" t="s">
        <v>2257</v>
      </c>
      <c r="B196" s="63" t="s">
        <v>16</v>
      </c>
      <c r="C196" s="63" t="s">
        <v>2971</v>
      </c>
      <c r="D196" s="63" t="s">
        <v>2972</v>
      </c>
      <c r="E196" s="63" t="s">
        <v>2973</v>
      </c>
      <c r="F196" s="63" t="s">
        <v>2395</v>
      </c>
      <c r="G196" s="63" t="s">
        <v>28</v>
      </c>
      <c r="H196" s="63" t="s">
        <v>28</v>
      </c>
      <c r="I196" s="63" t="s">
        <v>809</v>
      </c>
    </row>
    <row r="197" ht="11.25" customHeight="1">
      <c r="A197" s="63" t="s">
        <v>2257</v>
      </c>
      <c r="B197" s="63" t="s">
        <v>16</v>
      </c>
      <c r="C197" s="63" t="s">
        <v>2974</v>
      </c>
      <c r="D197" s="63" t="s">
        <v>2975</v>
      </c>
      <c r="E197" s="63" t="s">
        <v>2976</v>
      </c>
      <c r="F197" s="63" t="s">
        <v>2330</v>
      </c>
      <c r="G197" s="63" t="s">
        <v>28</v>
      </c>
      <c r="H197" s="63" t="s">
        <v>28</v>
      </c>
      <c r="I197" s="63" t="s">
        <v>809</v>
      </c>
    </row>
    <row r="198" ht="11.25" customHeight="1">
      <c r="A198" s="63" t="s">
        <v>2257</v>
      </c>
      <c r="B198" s="63" t="s">
        <v>16</v>
      </c>
      <c r="C198" s="63" t="s">
        <v>2977</v>
      </c>
      <c r="D198" s="63" t="s">
        <v>2978</v>
      </c>
      <c r="E198" s="63" t="s">
        <v>2979</v>
      </c>
      <c r="F198" s="63" t="s">
        <v>2293</v>
      </c>
      <c r="G198" s="63" t="s">
        <v>28</v>
      </c>
      <c r="H198" s="63" t="s">
        <v>28</v>
      </c>
      <c r="I198" s="63" t="s">
        <v>809</v>
      </c>
    </row>
    <row r="199" ht="11.25" customHeight="1">
      <c r="A199" s="63" t="s">
        <v>2257</v>
      </c>
      <c r="B199" s="63" t="s">
        <v>16</v>
      </c>
      <c r="C199" s="63" t="s">
        <v>2980</v>
      </c>
      <c r="D199" s="63" t="s">
        <v>2981</v>
      </c>
      <c r="E199" s="63" t="s">
        <v>2982</v>
      </c>
      <c r="F199" s="63" t="s">
        <v>2306</v>
      </c>
      <c r="G199" s="63" t="s">
        <v>2983</v>
      </c>
      <c r="H199" s="63" t="s">
        <v>28</v>
      </c>
      <c r="I199" s="63" t="s">
        <v>809</v>
      </c>
    </row>
    <row r="200" ht="11.25" customHeight="1">
      <c r="A200" s="63" t="s">
        <v>2257</v>
      </c>
      <c r="B200" s="63" t="s">
        <v>16</v>
      </c>
      <c r="C200" s="63" t="s">
        <v>2984</v>
      </c>
      <c r="D200" s="63" t="s">
        <v>2985</v>
      </c>
      <c r="E200" s="63" t="s">
        <v>2986</v>
      </c>
      <c r="F200" s="63" t="s">
        <v>2298</v>
      </c>
      <c r="G200" s="63" t="s">
        <v>28</v>
      </c>
      <c r="H200" s="63" t="s">
        <v>28</v>
      </c>
      <c r="I200" s="63" t="s">
        <v>809</v>
      </c>
    </row>
    <row r="201" ht="11.25" customHeight="1">
      <c r="A201" s="63" t="s">
        <v>2257</v>
      </c>
      <c r="B201" s="63" t="s">
        <v>16</v>
      </c>
      <c r="C201" s="63" t="s">
        <v>2987</v>
      </c>
      <c r="D201" s="63" t="s">
        <v>2988</v>
      </c>
      <c r="E201" s="63" t="s">
        <v>2989</v>
      </c>
      <c r="F201" s="63" t="s">
        <v>2306</v>
      </c>
      <c r="G201" s="63" t="s">
        <v>2990</v>
      </c>
      <c r="H201" s="63" t="s">
        <v>28</v>
      </c>
      <c r="I201" s="63" t="s">
        <v>809</v>
      </c>
    </row>
    <row r="202" ht="11.25" customHeight="1">
      <c r="A202" s="63" t="s">
        <v>2257</v>
      </c>
      <c r="B202" s="63" t="s">
        <v>16</v>
      </c>
      <c r="C202" s="63" t="s">
        <v>2991</v>
      </c>
      <c r="D202" s="63" t="s">
        <v>2992</v>
      </c>
      <c r="E202" s="63" t="s">
        <v>2993</v>
      </c>
      <c r="F202" s="63" t="s">
        <v>2994</v>
      </c>
      <c r="G202" s="63" t="s">
        <v>28</v>
      </c>
      <c r="H202" s="63" t="s">
        <v>2995</v>
      </c>
      <c r="I202" s="63" t="s">
        <v>809</v>
      </c>
    </row>
    <row r="203" ht="11.25" customHeight="1">
      <c r="A203" s="63" t="s">
        <v>2257</v>
      </c>
      <c r="B203" s="63" t="s">
        <v>16</v>
      </c>
      <c r="C203" s="63" t="s">
        <v>2996</v>
      </c>
      <c r="D203" s="63" t="s">
        <v>2997</v>
      </c>
      <c r="E203" s="63" t="s">
        <v>2998</v>
      </c>
      <c r="F203" s="63" t="s">
        <v>2275</v>
      </c>
      <c r="G203" s="63" t="s">
        <v>28</v>
      </c>
      <c r="H203" s="63" t="s">
        <v>28</v>
      </c>
      <c r="I203" s="63" t="s">
        <v>809</v>
      </c>
    </row>
    <row r="204" ht="11.25" customHeight="1">
      <c r="A204" s="63" t="s">
        <v>2257</v>
      </c>
      <c r="B204" s="63" t="s">
        <v>16</v>
      </c>
      <c r="C204" s="63" t="s">
        <v>2999</v>
      </c>
      <c r="D204" s="63" t="s">
        <v>3000</v>
      </c>
      <c r="E204" s="63" t="s">
        <v>3001</v>
      </c>
      <c r="F204" s="63" t="s">
        <v>2354</v>
      </c>
      <c r="G204" s="63" t="s">
        <v>3002</v>
      </c>
      <c r="H204" s="63" t="s">
        <v>28</v>
      </c>
      <c r="I204" s="63" t="s">
        <v>809</v>
      </c>
    </row>
    <row r="205" ht="11.25" customHeight="1">
      <c r="A205" s="63" t="s">
        <v>2257</v>
      </c>
      <c r="B205" s="63" t="s">
        <v>16</v>
      </c>
      <c r="C205" s="63" t="s">
        <v>3003</v>
      </c>
      <c r="D205" s="63" t="s">
        <v>3004</v>
      </c>
      <c r="E205" s="63" t="s">
        <v>3005</v>
      </c>
      <c r="F205" s="63" t="s">
        <v>2481</v>
      </c>
      <c r="G205" s="63" t="s">
        <v>3006</v>
      </c>
      <c r="H205" s="63" t="s">
        <v>28</v>
      </c>
      <c r="I205" s="63" t="s">
        <v>809</v>
      </c>
    </row>
    <row r="206" ht="11.25" customHeight="1">
      <c r="A206" s="63" t="s">
        <v>2257</v>
      </c>
      <c r="B206" s="63" t="s">
        <v>16</v>
      </c>
      <c r="C206" s="63" t="s">
        <v>3007</v>
      </c>
      <c r="D206" s="63" t="s">
        <v>3008</v>
      </c>
      <c r="E206" s="63" t="s">
        <v>3009</v>
      </c>
      <c r="F206" s="63" t="s">
        <v>2322</v>
      </c>
      <c r="G206" s="63" t="s">
        <v>3010</v>
      </c>
      <c r="H206" s="63" t="s">
        <v>28</v>
      </c>
      <c r="I206" s="63" t="s">
        <v>809</v>
      </c>
    </row>
    <row r="207" ht="11.25" customHeight="1">
      <c r="A207" s="63" t="s">
        <v>2257</v>
      </c>
      <c r="B207" s="63" t="s">
        <v>16</v>
      </c>
      <c r="C207" s="63" t="s">
        <v>3011</v>
      </c>
      <c r="D207" s="63" t="s">
        <v>3012</v>
      </c>
      <c r="E207" s="63" t="s">
        <v>3013</v>
      </c>
      <c r="F207" s="63" t="s">
        <v>2275</v>
      </c>
      <c r="G207" s="63" t="s">
        <v>28</v>
      </c>
      <c r="H207" s="63" t="s">
        <v>28</v>
      </c>
      <c r="I207" s="63" t="s">
        <v>809</v>
      </c>
    </row>
    <row r="208" ht="11.25" customHeight="1">
      <c r="A208" s="63" t="s">
        <v>2257</v>
      </c>
      <c r="B208" s="63" t="s">
        <v>16</v>
      </c>
      <c r="C208" s="63" t="s">
        <v>3014</v>
      </c>
      <c r="D208" s="63" t="s">
        <v>3015</v>
      </c>
      <c r="E208" s="63" t="s">
        <v>3016</v>
      </c>
      <c r="F208" s="63" t="s">
        <v>2275</v>
      </c>
      <c r="G208" s="63" t="s">
        <v>28</v>
      </c>
      <c r="H208" s="63" t="s">
        <v>28</v>
      </c>
      <c r="I208" s="63" t="s">
        <v>809</v>
      </c>
    </row>
    <row r="209" ht="11.25" customHeight="1">
      <c r="A209" s="63" t="s">
        <v>2257</v>
      </c>
      <c r="B209" s="63" t="s">
        <v>16</v>
      </c>
      <c r="C209" s="63" t="s">
        <v>3017</v>
      </c>
      <c r="D209" s="63" t="s">
        <v>3018</v>
      </c>
      <c r="E209" s="63" t="s">
        <v>3019</v>
      </c>
      <c r="F209" s="63" t="s">
        <v>2403</v>
      </c>
      <c r="G209" s="63" t="s">
        <v>28</v>
      </c>
      <c r="H209" s="63" t="s">
        <v>28</v>
      </c>
      <c r="I209" s="63" t="s">
        <v>809</v>
      </c>
    </row>
    <row r="210" ht="11.25" customHeight="1">
      <c r="A210" s="63" t="s">
        <v>2257</v>
      </c>
      <c r="B210" s="63" t="s">
        <v>16</v>
      </c>
      <c r="C210" s="63" t="s">
        <v>3020</v>
      </c>
      <c r="D210" s="63" t="s">
        <v>3021</v>
      </c>
      <c r="E210" s="63" t="s">
        <v>3022</v>
      </c>
      <c r="F210" s="63" t="s">
        <v>2293</v>
      </c>
      <c r="G210" s="63" t="s">
        <v>28</v>
      </c>
      <c r="H210" s="63" t="s">
        <v>28</v>
      </c>
      <c r="I210" s="63" t="s">
        <v>809</v>
      </c>
    </row>
    <row r="211" ht="11.25" customHeight="1">
      <c r="A211" s="63" t="s">
        <v>2257</v>
      </c>
      <c r="B211" s="63" t="s">
        <v>16</v>
      </c>
      <c r="C211" s="63" t="s">
        <v>3023</v>
      </c>
      <c r="D211" s="63" t="s">
        <v>3024</v>
      </c>
      <c r="E211" s="63" t="s">
        <v>3025</v>
      </c>
      <c r="F211" s="63" t="s">
        <v>2395</v>
      </c>
      <c r="G211" s="63" t="s">
        <v>3026</v>
      </c>
      <c r="H211" s="63" t="s">
        <v>28</v>
      </c>
      <c r="I211" s="63" t="s">
        <v>809</v>
      </c>
    </row>
    <row r="212" ht="11.25" customHeight="1">
      <c r="A212" s="63" t="s">
        <v>2257</v>
      </c>
      <c r="B212" s="63" t="s">
        <v>16</v>
      </c>
      <c r="C212" s="63" t="s">
        <v>3027</v>
      </c>
      <c r="D212" s="63" t="s">
        <v>3028</v>
      </c>
      <c r="E212" s="63" t="s">
        <v>3029</v>
      </c>
      <c r="F212" s="63" t="s">
        <v>2322</v>
      </c>
      <c r="G212" s="63" t="s">
        <v>28</v>
      </c>
      <c r="H212" s="63" t="s">
        <v>28</v>
      </c>
      <c r="I212" s="63" t="s">
        <v>809</v>
      </c>
    </row>
    <row r="213" ht="11.25" customHeight="1">
      <c r="A213" s="63" t="s">
        <v>2257</v>
      </c>
      <c r="B213" s="63" t="s">
        <v>16</v>
      </c>
      <c r="C213" s="63" t="s">
        <v>3030</v>
      </c>
      <c r="D213" s="63" t="s">
        <v>3031</v>
      </c>
      <c r="E213" s="63" t="s">
        <v>3032</v>
      </c>
      <c r="F213" s="63" t="s">
        <v>2288</v>
      </c>
      <c r="G213" s="63" t="s">
        <v>3033</v>
      </c>
      <c r="H213" s="63" t="s">
        <v>28</v>
      </c>
      <c r="I213" s="63" t="s">
        <v>809</v>
      </c>
    </row>
    <row r="214" ht="11.25" customHeight="1">
      <c r="A214" s="63" t="s">
        <v>2257</v>
      </c>
      <c r="B214" s="63" t="s">
        <v>16</v>
      </c>
      <c r="C214" s="63" t="s">
        <v>3034</v>
      </c>
      <c r="D214" s="63" t="s">
        <v>3035</v>
      </c>
      <c r="E214" s="63" t="s">
        <v>3036</v>
      </c>
      <c r="F214" s="63" t="s">
        <v>2322</v>
      </c>
      <c r="G214" s="63" t="s">
        <v>3037</v>
      </c>
      <c r="H214" s="63" t="s">
        <v>28</v>
      </c>
      <c r="I214" s="63" t="s">
        <v>809</v>
      </c>
    </row>
    <row r="215" ht="11.25" customHeight="1">
      <c r="A215" s="63" t="s">
        <v>2257</v>
      </c>
      <c r="B215" s="63" t="s">
        <v>16</v>
      </c>
      <c r="C215" s="63" t="s">
        <v>3038</v>
      </c>
      <c r="D215" s="63" t="s">
        <v>3039</v>
      </c>
      <c r="E215" s="63" t="s">
        <v>3040</v>
      </c>
      <c r="F215" s="63" t="s">
        <v>2275</v>
      </c>
      <c r="G215" s="63" t="s">
        <v>28</v>
      </c>
      <c r="H215" s="63" t="s">
        <v>28</v>
      </c>
      <c r="I215" s="63" t="s">
        <v>809</v>
      </c>
    </row>
    <row r="216" ht="11.25" customHeight="1">
      <c r="A216" s="63" t="s">
        <v>2257</v>
      </c>
      <c r="B216" s="63" t="s">
        <v>16</v>
      </c>
      <c r="C216" s="63" t="s">
        <v>3041</v>
      </c>
      <c r="D216" s="63" t="s">
        <v>3042</v>
      </c>
      <c r="E216" s="63" t="s">
        <v>3043</v>
      </c>
      <c r="F216" s="63" t="s">
        <v>2559</v>
      </c>
      <c r="G216" s="63" t="s">
        <v>28</v>
      </c>
      <c r="H216" s="63" t="s">
        <v>28</v>
      </c>
      <c r="I216" s="63" t="s">
        <v>809</v>
      </c>
    </row>
    <row r="217" ht="11.25" customHeight="1">
      <c r="A217" s="63" t="s">
        <v>2257</v>
      </c>
      <c r="B217" s="63" t="s">
        <v>16</v>
      </c>
      <c r="C217" s="63" t="s">
        <v>3044</v>
      </c>
      <c r="D217" s="63" t="s">
        <v>3045</v>
      </c>
      <c r="E217" s="63" t="s">
        <v>3046</v>
      </c>
      <c r="F217" s="63" t="s">
        <v>2407</v>
      </c>
      <c r="G217" s="63" t="s">
        <v>28</v>
      </c>
      <c r="H217" s="63" t="s">
        <v>28</v>
      </c>
      <c r="I217" s="63" t="s">
        <v>809</v>
      </c>
    </row>
    <row r="218" ht="11.25" customHeight="1">
      <c r="A218" s="63" t="s">
        <v>2257</v>
      </c>
      <c r="B218" s="63" t="s">
        <v>16</v>
      </c>
      <c r="C218" s="63" t="s">
        <v>3047</v>
      </c>
      <c r="D218" s="63" t="s">
        <v>3048</v>
      </c>
      <c r="E218" s="63" t="s">
        <v>3049</v>
      </c>
      <c r="F218" s="63" t="s">
        <v>2288</v>
      </c>
      <c r="G218" s="63" t="s">
        <v>28</v>
      </c>
      <c r="H218" s="63" t="s">
        <v>28</v>
      </c>
      <c r="I218" s="63" t="s">
        <v>809</v>
      </c>
    </row>
    <row r="219" ht="11.25" customHeight="1">
      <c r="A219" s="63" t="s">
        <v>2257</v>
      </c>
      <c r="B219" s="63" t="s">
        <v>16</v>
      </c>
      <c r="C219" s="63" t="s">
        <v>3050</v>
      </c>
      <c r="D219" s="63" t="s">
        <v>3051</v>
      </c>
      <c r="E219" s="63" t="s">
        <v>3052</v>
      </c>
      <c r="F219" s="63" t="s">
        <v>2298</v>
      </c>
      <c r="G219" s="63" t="s">
        <v>3053</v>
      </c>
      <c r="H219" s="63" t="s">
        <v>28</v>
      </c>
      <c r="I219" s="63" t="s">
        <v>809</v>
      </c>
    </row>
    <row r="220" ht="11.25" customHeight="1">
      <c r="A220" s="63" t="s">
        <v>2257</v>
      </c>
      <c r="B220" s="63" t="s">
        <v>16</v>
      </c>
      <c r="C220" s="63" t="s">
        <v>3054</v>
      </c>
      <c r="D220" s="63" t="s">
        <v>3055</v>
      </c>
      <c r="E220" s="63" t="s">
        <v>3056</v>
      </c>
      <c r="F220" s="63" t="s">
        <v>2743</v>
      </c>
      <c r="G220" s="63" t="s">
        <v>28</v>
      </c>
      <c r="H220" s="63" t="s">
        <v>28</v>
      </c>
      <c r="I220" s="63" t="s">
        <v>809</v>
      </c>
    </row>
    <row r="221" ht="11.25" customHeight="1">
      <c r="A221" s="63" t="s">
        <v>2257</v>
      </c>
      <c r="B221" s="63" t="s">
        <v>16</v>
      </c>
      <c r="C221" s="63" t="s">
        <v>3057</v>
      </c>
      <c r="D221" s="63" t="s">
        <v>3058</v>
      </c>
      <c r="E221" s="63" t="s">
        <v>3059</v>
      </c>
      <c r="F221" s="63" t="s">
        <v>2315</v>
      </c>
      <c r="G221" s="63" t="s">
        <v>28</v>
      </c>
      <c r="H221" s="63" t="s">
        <v>28</v>
      </c>
      <c r="I221" s="63" t="s">
        <v>809</v>
      </c>
    </row>
    <row r="222" ht="11.25" customHeight="1">
      <c r="A222" s="63" t="s">
        <v>2257</v>
      </c>
      <c r="B222" s="63" t="s">
        <v>16</v>
      </c>
      <c r="C222" s="63" t="s">
        <v>3060</v>
      </c>
      <c r="D222" s="63" t="s">
        <v>3061</v>
      </c>
      <c r="E222" s="63" t="s">
        <v>3062</v>
      </c>
      <c r="F222" s="63" t="s">
        <v>2395</v>
      </c>
      <c r="G222" s="63" t="s">
        <v>28</v>
      </c>
      <c r="H222" s="63" t="s">
        <v>28</v>
      </c>
      <c r="I222" s="63" t="s">
        <v>809</v>
      </c>
    </row>
    <row r="223" ht="11.25" customHeight="1">
      <c r="A223" s="63" t="s">
        <v>2257</v>
      </c>
      <c r="B223" s="63" t="s">
        <v>16</v>
      </c>
      <c r="C223" s="63" t="s">
        <v>3063</v>
      </c>
      <c r="D223" s="63" t="s">
        <v>3064</v>
      </c>
      <c r="E223" s="63" t="s">
        <v>3065</v>
      </c>
      <c r="F223" s="63" t="s">
        <v>2322</v>
      </c>
      <c r="G223" s="63" t="s">
        <v>28</v>
      </c>
      <c r="H223" s="63" t="s">
        <v>28</v>
      </c>
      <c r="I223" s="63" t="s">
        <v>809</v>
      </c>
    </row>
    <row r="224" ht="11.25" customHeight="1">
      <c r="A224" s="63" t="s">
        <v>2257</v>
      </c>
      <c r="B224" s="63" t="s">
        <v>16</v>
      </c>
      <c r="C224" s="63" t="s">
        <v>3066</v>
      </c>
      <c r="D224" s="63" t="s">
        <v>3067</v>
      </c>
      <c r="E224" s="63" t="s">
        <v>3068</v>
      </c>
      <c r="F224" s="63" t="s">
        <v>2298</v>
      </c>
      <c r="G224" s="63" t="s">
        <v>3069</v>
      </c>
      <c r="H224" s="63" t="s">
        <v>28</v>
      </c>
      <c r="I224" s="63" t="s">
        <v>809</v>
      </c>
    </row>
    <row r="225" ht="11.25" customHeight="1">
      <c r="A225" s="63" t="s">
        <v>2257</v>
      </c>
      <c r="B225" s="63" t="s">
        <v>16</v>
      </c>
      <c r="C225" s="63" t="s">
        <v>3070</v>
      </c>
      <c r="D225" s="63" t="s">
        <v>3071</v>
      </c>
      <c r="E225" s="63" t="s">
        <v>3072</v>
      </c>
      <c r="F225" s="63" t="s">
        <v>2275</v>
      </c>
      <c r="G225" s="63" t="s">
        <v>28</v>
      </c>
      <c r="H225" s="63" t="s">
        <v>28</v>
      </c>
      <c r="I225" s="63" t="s">
        <v>809</v>
      </c>
    </row>
    <row r="226" ht="11.25" customHeight="1">
      <c r="A226" s="63" t="s">
        <v>2257</v>
      </c>
      <c r="B226" s="63" t="s">
        <v>16</v>
      </c>
      <c r="C226" s="63" t="s">
        <v>3073</v>
      </c>
      <c r="D226" s="63" t="s">
        <v>3074</v>
      </c>
      <c r="E226" s="63" t="s">
        <v>3075</v>
      </c>
      <c r="F226" s="63" t="s">
        <v>2364</v>
      </c>
      <c r="G226" s="63" t="s">
        <v>3076</v>
      </c>
      <c r="H226" s="63" t="s">
        <v>28</v>
      </c>
      <c r="I226" s="63" t="s">
        <v>809</v>
      </c>
    </row>
    <row r="227" ht="11.25" customHeight="1">
      <c r="A227" s="63" t="s">
        <v>2257</v>
      </c>
      <c r="B227" s="63" t="s">
        <v>16</v>
      </c>
      <c r="C227" s="63" t="s">
        <v>3077</v>
      </c>
      <c r="D227" s="63" t="s">
        <v>3078</v>
      </c>
      <c r="E227" s="63" t="s">
        <v>3079</v>
      </c>
      <c r="F227" s="63" t="s">
        <v>2354</v>
      </c>
      <c r="G227" s="63" t="s">
        <v>3080</v>
      </c>
      <c r="H227" s="63" t="s">
        <v>28</v>
      </c>
      <c r="I227" s="63" t="s">
        <v>809</v>
      </c>
    </row>
    <row r="228" ht="11.25" customHeight="1">
      <c r="A228" s="63" t="s">
        <v>2257</v>
      </c>
      <c r="B228" s="63" t="s">
        <v>16</v>
      </c>
      <c r="C228" s="63" t="s">
        <v>3081</v>
      </c>
      <c r="D228" s="63" t="s">
        <v>3082</v>
      </c>
      <c r="E228" s="63" t="s">
        <v>3083</v>
      </c>
      <c r="F228" s="63" t="s">
        <v>2293</v>
      </c>
      <c r="G228" s="63" t="s">
        <v>28</v>
      </c>
      <c r="H228" s="63" t="s">
        <v>28</v>
      </c>
      <c r="I228" s="63" t="s">
        <v>809</v>
      </c>
    </row>
    <row r="229" ht="11.25" customHeight="1">
      <c r="A229" s="63" t="s">
        <v>2257</v>
      </c>
      <c r="B229" s="63" t="s">
        <v>16</v>
      </c>
      <c r="C229" s="63" t="s">
        <v>3084</v>
      </c>
      <c r="D229" s="63" t="s">
        <v>3085</v>
      </c>
      <c r="E229" s="63" t="s">
        <v>3086</v>
      </c>
      <c r="F229" s="63" t="s">
        <v>2275</v>
      </c>
      <c r="G229" s="63" t="s">
        <v>3087</v>
      </c>
      <c r="H229" s="63" t="s">
        <v>28</v>
      </c>
      <c r="I229" s="63" t="s">
        <v>809</v>
      </c>
    </row>
    <row r="230" ht="11.25" customHeight="1">
      <c r="A230" s="63" t="s">
        <v>2257</v>
      </c>
      <c r="B230" s="63" t="s">
        <v>16</v>
      </c>
      <c r="C230" s="63" t="s">
        <v>3088</v>
      </c>
      <c r="D230" s="63" t="s">
        <v>3089</v>
      </c>
      <c r="E230" s="63" t="s">
        <v>3090</v>
      </c>
      <c r="F230" s="63" t="s">
        <v>2569</v>
      </c>
      <c r="G230" s="63" t="s">
        <v>28</v>
      </c>
      <c r="H230" s="63" t="s">
        <v>28</v>
      </c>
      <c r="I230" s="63" t="s">
        <v>809</v>
      </c>
    </row>
    <row r="231" ht="11.25" customHeight="1">
      <c r="A231" s="63" t="s">
        <v>2257</v>
      </c>
      <c r="B231" s="63" t="s">
        <v>16</v>
      </c>
      <c r="C231" s="63" t="s">
        <v>3091</v>
      </c>
      <c r="D231" s="63" t="s">
        <v>3092</v>
      </c>
      <c r="E231" s="63" t="s">
        <v>3093</v>
      </c>
      <c r="F231" s="63" t="s">
        <v>2322</v>
      </c>
      <c r="G231" s="63" t="s">
        <v>28</v>
      </c>
      <c r="H231" s="63" t="s">
        <v>28</v>
      </c>
      <c r="I231" s="63" t="s">
        <v>809</v>
      </c>
    </row>
    <row r="232" ht="11.25" customHeight="1">
      <c r="A232" s="63" t="s">
        <v>2257</v>
      </c>
      <c r="B232" s="63" t="s">
        <v>16</v>
      </c>
      <c r="C232" s="63" t="s">
        <v>3094</v>
      </c>
      <c r="D232" s="63" t="s">
        <v>3095</v>
      </c>
      <c r="E232" s="63" t="s">
        <v>3096</v>
      </c>
      <c r="F232" s="63" t="s">
        <v>2407</v>
      </c>
      <c r="G232" s="63" t="s">
        <v>3097</v>
      </c>
      <c r="H232" s="63" t="s">
        <v>28</v>
      </c>
      <c r="I232" s="63" t="s">
        <v>809</v>
      </c>
    </row>
    <row r="233" ht="11.25" customHeight="1">
      <c r="A233" s="63" t="s">
        <v>2257</v>
      </c>
      <c r="B233" s="63" t="s">
        <v>16</v>
      </c>
      <c r="C233" s="63" t="s">
        <v>3098</v>
      </c>
      <c r="D233" s="63" t="s">
        <v>3099</v>
      </c>
      <c r="E233" s="63" t="s">
        <v>3100</v>
      </c>
      <c r="F233" s="63" t="s">
        <v>2275</v>
      </c>
      <c r="G233" s="63" t="s">
        <v>28</v>
      </c>
      <c r="H233" s="63" t="s">
        <v>28</v>
      </c>
      <c r="I233" s="63" t="s">
        <v>809</v>
      </c>
    </row>
    <row r="234" ht="11.25" customHeight="1">
      <c r="A234" s="63" t="s">
        <v>2257</v>
      </c>
      <c r="B234" s="63" t="s">
        <v>16</v>
      </c>
      <c r="C234" s="63" t="s">
        <v>3101</v>
      </c>
      <c r="D234" s="63" t="s">
        <v>3102</v>
      </c>
      <c r="E234" s="63" t="s">
        <v>3103</v>
      </c>
      <c r="F234" s="63" t="s">
        <v>2391</v>
      </c>
      <c r="G234" s="63" t="s">
        <v>28</v>
      </c>
      <c r="H234" s="63" t="s">
        <v>28</v>
      </c>
      <c r="I234" s="63" t="s">
        <v>809</v>
      </c>
    </row>
    <row r="235" ht="11.25" customHeight="1">
      <c r="A235" s="63" t="s">
        <v>2257</v>
      </c>
      <c r="B235" s="63" t="s">
        <v>16</v>
      </c>
      <c r="C235" s="63" t="s">
        <v>3104</v>
      </c>
      <c r="D235" s="63" t="s">
        <v>3105</v>
      </c>
      <c r="E235" s="63" t="s">
        <v>3106</v>
      </c>
      <c r="F235" s="63" t="s">
        <v>2591</v>
      </c>
      <c r="G235" s="63" t="s">
        <v>3107</v>
      </c>
      <c r="H235" s="63" t="s">
        <v>28</v>
      </c>
      <c r="I235" s="63" t="s">
        <v>809</v>
      </c>
    </row>
    <row r="236" ht="11.25" customHeight="1">
      <c r="A236" s="63" t="s">
        <v>2257</v>
      </c>
      <c r="B236" s="63" t="s">
        <v>16</v>
      </c>
      <c r="C236" s="63" t="s">
        <v>3108</v>
      </c>
      <c r="D236" s="63" t="s">
        <v>3109</v>
      </c>
      <c r="E236" s="63" t="s">
        <v>3110</v>
      </c>
      <c r="F236" s="63" t="s">
        <v>2330</v>
      </c>
      <c r="G236" s="63" t="s">
        <v>3111</v>
      </c>
      <c r="H236" s="63" t="s">
        <v>28</v>
      </c>
      <c r="I236" s="63" t="s">
        <v>809</v>
      </c>
    </row>
    <row r="237" ht="11.25" customHeight="1">
      <c r="A237" s="63" t="s">
        <v>2257</v>
      </c>
      <c r="B237" s="63" t="s">
        <v>16</v>
      </c>
      <c r="C237" s="63" t="s">
        <v>3112</v>
      </c>
      <c r="D237" s="63" t="s">
        <v>3113</v>
      </c>
      <c r="E237" s="63" t="s">
        <v>3114</v>
      </c>
      <c r="F237" s="63" t="s">
        <v>2293</v>
      </c>
      <c r="G237" s="63" t="s">
        <v>28</v>
      </c>
      <c r="H237" s="63" t="s">
        <v>28</v>
      </c>
      <c r="I237" s="63" t="s">
        <v>809</v>
      </c>
    </row>
    <row r="238" ht="11.25" customHeight="1">
      <c r="A238" s="63" t="s">
        <v>2257</v>
      </c>
      <c r="B238" s="63" t="s">
        <v>16</v>
      </c>
      <c r="C238" s="63" t="s">
        <v>3115</v>
      </c>
      <c r="D238" s="63" t="s">
        <v>3116</v>
      </c>
      <c r="E238" s="63" t="s">
        <v>3117</v>
      </c>
      <c r="F238" s="63" t="s">
        <v>2322</v>
      </c>
      <c r="G238" s="63" t="s">
        <v>3118</v>
      </c>
      <c r="H238" s="63" t="s">
        <v>28</v>
      </c>
      <c r="I238" s="63" t="s">
        <v>809</v>
      </c>
    </row>
    <row r="239" ht="11.25" customHeight="1">
      <c r="A239" s="63" t="s">
        <v>2257</v>
      </c>
      <c r="B239" s="63" t="s">
        <v>16</v>
      </c>
      <c r="C239" s="63" t="s">
        <v>3119</v>
      </c>
      <c r="D239" s="63" t="s">
        <v>3120</v>
      </c>
      <c r="E239" s="63" t="s">
        <v>3121</v>
      </c>
      <c r="F239" s="63" t="s">
        <v>2391</v>
      </c>
      <c r="G239" s="63" t="s">
        <v>3122</v>
      </c>
      <c r="H239" s="63" t="s">
        <v>28</v>
      </c>
      <c r="I239" s="63" t="s">
        <v>809</v>
      </c>
    </row>
    <row r="240" ht="11.25" customHeight="1">
      <c r="A240" s="63" t="s">
        <v>2257</v>
      </c>
      <c r="B240" s="63" t="s">
        <v>16</v>
      </c>
      <c r="C240" s="63" t="s">
        <v>3123</v>
      </c>
      <c r="D240" s="63" t="s">
        <v>3124</v>
      </c>
      <c r="E240" s="63" t="s">
        <v>3125</v>
      </c>
      <c r="F240" s="63" t="s">
        <v>2559</v>
      </c>
      <c r="G240" s="63" t="s">
        <v>28</v>
      </c>
      <c r="H240" s="63" t="s">
        <v>28</v>
      </c>
      <c r="I240" s="63" t="s">
        <v>809</v>
      </c>
    </row>
    <row r="241" ht="11.25" customHeight="1">
      <c r="A241" s="63" t="s">
        <v>2257</v>
      </c>
      <c r="B241" s="63" t="s">
        <v>16</v>
      </c>
      <c r="C241" s="63" t="s">
        <v>3126</v>
      </c>
      <c r="D241" s="63" t="s">
        <v>3127</v>
      </c>
      <c r="E241" s="63" t="s">
        <v>3128</v>
      </c>
      <c r="F241" s="63" t="s">
        <v>2395</v>
      </c>
      <c r="G241" s="63" t="s">
        <v>3129</v>
      </c>
      <c r="H241" s="63" t="s">
        <v>28</v>
      </c>
      <c r="I241" s="63" t="s">
        <v>809</v>
      </c>
    </row>
    <row r="242" ht="11.25" customHeight="1">
      <c r="A242" s="63" t="s">
        <v>2257</v>
      </c>
      <c r="B242" s="63" t="s">
        <v>16</v>
      </c>
      <c r="C242" s="63" t="s">
        <v>3130</v>
      </c>
      <c r="D242" s="63" t="s">
        <v>3131</v>
      </c>
      <c r="E242" s="63" t="s">
        <v>3132</v>
      </c>
      <c r="F242" s="63" t="s">
        <v>2407</v>
      </c>
      <c r="G242" s="63" t="s">
        <v>3133</v>
      </c>
      <c r="H242" s="63" t="s">
        <v>28</v>
      </c>
      <c r="I242" s="63" t="s">
        <v>809</v>
      </c>
    </row>
    <row r="243" ht="11.25" customHeight="1">
      <c r="A243" s="63" t="s">
        <v>2257</v>
      </c>
      <c r="B243" s="63" t="s">
        <v>16</v>
      </c>
      <c r="C243" s="63" t="s">
        <v>3134</v>
      </c>
      <c r="D243" s="63" t="s">
        <v>3135</v>
      </c>
      <c r="E243" s="63" t="s">
        <v>3136</v>
      </c>
      <c r="F243" s="63" t="s">
        <v>2288</v>
      </c>
      <c r="G243" s="63" t="s">
        <v>28</v>
      </c>
      <c r="H243" s="63" t="s">
        <v>28</v>
      </c>
      <c r="I243" s="63" t="s">
        <v>809</v>
      </c>
    </row>
    <row r="244" ht="11.25" customHeight="1">
      <c r="A244" s="63" t="s">
        <v>2257</v>
      </c>
      <c r="B244" s="63" t="s">
        <v>16</v>
      </c>
      <c r="C244" s="63" t="s">
        <v>3137</v>
      </c>
      <c r="D244" s="63" t="s">
        <v>3138</v>
      </c>
      <c r="E244" s="63" t="s">
        <v>3139</v>
      </c>
      <c r="F244" s="63" t="s">
        <v>2569</v>
      </c>
      <c r="G244" s="63" t="s">
        <v>3140</v>
      </c>
      <c r="H244" s="63" t="s">
        <v>28</v>
      </c>
      <c r="I244" s="63" t="s">
        <v>809</v>
      </c>
    </row>
    <row r="245" ht="11.25" customHeight="1">
      <c r="A245" s="63" t="s">
        <v>2257</v>
      </c>
      <c r="B245" s="63" t="s">
        <v>16</v>
      </c>
      <c r="C245" s="63" t="s">
        <v>3141</v>
      </c>
      <c r="D245" s="63" t="s">
        <v>3142</v>
      </c>
      <c r="E245" s="63" t="s">
        <v>3143</v>
      </c>
      <c r="F245" s="63" t="s">
        <v>2315</v>
      </c>
      <c r="G245" s="63" t="s">
        <v>28</v>
      </c>
      <c r="H245" s="63" t="s">
        <v>28</v>
      </c>
      <c r="I245" s="63" t="s">
        <v>809</v>
      </c>
    </row>
    <row r="246" ht="11.25" customHeight="1">
      <c r="A246" s="63" t="s">
        <v>2257</v>
      </c>
      <c r="B246" s="63" t="s">
        <v>16</v>
      </c>
      <c r="C246" s="63" t="s">
        <v>3144</v>
      </c>
      <c r="D246" s="63" t="s">
        <v>3145</v>
      </c>
      <c r="E246" s="63" t="s">
        <v>3146</v>
      </c>
      <c r="F246" s="63" t="s">
        <v>2315</v>
      </c>
      <c r="G246" s="63" t="s">
        <v>3147</v>
      </c>
      <c r="H246" s="63" t="s">
        <v>28</v>
      </c>
      <c r="I246" s="63" t="s">
        <v>809</v>
      </c>
    </row>
    <row r="247" ht="11.25" customHeight="1">
      <c r="A247" s="63" t="s">
        <v>2257</v>
      </c>
      <c r="B247" s="63" t="s">
        <v>16</v>
      </c>
      <c r="C247" s="63" t="s">
        <v>3148</v>
      </c>
      <c r="D247" s="63" t="s">
        <v>3149</v>
      </c>
      <c r="E247" s="63" t="s">
        <v>3150</v>
      </c>
      <c r="F247" s="63" t="s">
        <v>2743</v>
      </c>
      <c r="G247" s="63" t="s">
        <v>3151</v>
      </c>
      <c r="H247" s="63" t="s">
        <v>28</v>
      </c>
      <c r="I247" s="63" t="s">
        <v>809</v>
      </c>
    </row>
    <row r="248" ht="11.25" customHeight="1">
      <c r="A248" s="63" t="s">
        <v>2257</v>
      </c>
      <c r="B248" s="63" t="s">
        <v>16</v>
      </c>
      <c r="C248" s="63" t="s">
        <v>3152</v>
      </c>
      <c r="D248" s="63" t="s">
        <v>3153</v>
      </c>
      <c r="E248" s="63" t="s">
        <v>3154</v>
      </c>
      <c r="F248" s="63" t="s">
        <v>2354</v>
      </c>
      <c r="G248" s="63" t="s">
        <v>3155</v>
      </c>
      <c r="H248" s="63" t="s">
        <v>28</v>
      </c>
      <c r="I248" s="63" t="s">
        <v>809</v>
      </c>
    </row>
    <row r="249" ht="11.25" customHeight="1">
      <c r="A249" s="63" t="s">
        <v>2257</v>
      </c>
      <c r="B249" s="63" t="s">
        <v>16</v>
      </c>
      <c r="C249" s="63" t="s">
        <v>3156</v>
      </c>
      <c r="D249" s="63" t="s">
        <v>3157</v>
      </c>
      <c r="E249" s="63" t="s">
        <v>3158</v>
      </c>
      <c r="F249" s="63" t="s">
        <v>2364</v>
      </c>
      <c r="G249" s="63" t="s">
        <v>3159</v>
      </c>
      <c r="H249" s="63" t="s">
        <v>28</v>
      </c>
      <c r="I249" s="63" t="s">
        <v>809</v>
      </c>
    </row>
    <row r="250" ht="11.25" customHeight="1">
      <c r="A250" s="63" t="s">
        <v>2257</v>
      </c>
      <c r="B250" s="63" t="s">
        <v>16</v>
      </c>
      <c r="C250" s="63" t="s">
        <v>3160</v>
      </c>
      <c r="D250" s="63" t="s">
        <v>3161</v>
      </c>
      <c r="E250" s="63" t="s">
        <v>3162</v>
      </c>
      <c r="F250" s="63" t="s">
        <v>2275</v>
      </c>
      <c r="G250" s="63" t="s">
        <v>28</v>
      </c>
      <c r="H250" s="63" t="s">
        <v>28</v>
      </c>
      <c r="I250" s="63" t="s">
        <v>809</v>
      </c>
    </row>
    <row r="251" ht="11.25" customHeight="1">
      <c r="A251" s="63" t="s">
        <v>2257</v>
      </c>
      <c r="B251" s="63" t="s">
        <v>16</v>
      </c>
      <c r="C251" s="63" t="s">
        <v>3163</v>
      </c>
      <c r="D251" s="63" t="s">
        <v>3164</v>
      </c>
      <c r="E251" s="63" t="s">
        <v>3165</v>
      </c>
      <c r="F251" s="63" t="s">
        <v>2407</v>
      </c>
      <c r="G251" s="63" t="s">
        <v>28</v>
      </c>
      <c r="H251" s="63" t="s">
        <v>28</v>
      </c>
      <c r="I251" s="63" t="s">
        <v>809</v>
      </c>
    </row>
    <row r="252" ht="11.25" customHeight="1">
      <c r="A252" s="63" t="s">
        <v>2257</v>
      </c>
      <c r="B252" s="63" t="s">
        <v>16</v>
      </c>
      <c r="C252" s="63" t="s">
        <v>3166</v>
      </c>
      <c r="D252" s="63" t="s">
        <v>3167</v>
      </c>
      <c r="E252" s="63" t="s">
        <v>3168</v>
      </c>
      <c r="F252" s="63" t="s">
        <v>2288</v>
      </c>
      <c r="G252" s="63" t="s">
        <v>3169</v>
      </c>
      <c r="H252" s="63" t="s">
        <v>28</v>
      </c>
      <c r="I252" s="63" t="s">
        <v>809</v>
      </c>
    </row>
    <row r="253" ht="11.25" customHeight="1">
      <c r="A253" s="63" t="s">
        <v>2257</v>
      </c>
      <c r="B253" s="63" t="s">
        <v>16</v>
      </c>
      <c r="C253" s="63" t="s">
        <v>3170</v>
      </c>
      <c r="D253" s="63" t="s">
        <v>3171</v>
      </c>
      <c r="E253" s="63" t="s">
        <v>3172</v>
      </c>
      <c r="F253" s="63" t="s">
        <v>2591</v>
      </c>
      <c r="G253" s="63" t="s">
        <v>28</v>
      </c>
      <c r="H253" s="63" t="s">
        <v>28</v>
      </c>
      <c r="I253" s="63" t="s">
        <v>809</v>
      </c>
    </row>
    <row r="254" ht="11.25" customHeight="1">
      <c r="A254" s="63" t="s">
        <v>2257</v>
      </c>
      <c r="B254" s="63" t="s">
        <v>16</v>
      </c>
      <c r="C254" s="63" t="s">
        <v>3173</v>
      </c>
      <c r="D254" s="63" t="s">
        <v>3174</v>
      </c>
      <c r="E254" s="63" t="s">
        <v>3175</v>
      </c>
      <c r="F254" s="63" t="s">
        <v>2275</v>
      </c>
      <c r="G254" s="63" t="s">
        <v>28</v>
      </c>
      <c r="H254" s="63" t="s">
        <v>28</v>
      </c>
      <c r="I254" s="63" t="s">
        <v>809</v>
      </c>
    </row>
    <row r="255" ht="11.25" customHeight="1">
      <c r="A255" s="63" t="s">
        <v>2257</v>
      </c>
      <c r="B255" s="63" t="s">
        <v>16</v>
      </c>
      <c r="C255" s="63" t="s">
        <v>3176</v>
      </c>
      <c r="D255" s="63" t="s">
        <v>3177</v>
      </c>
      <c r="E255" s="63" t="s">
        <v>3178</v>
      </c>
      <c r="F255" s="63" t="s">
        <v>2518</v>
      </c>
      <c r="G255" s="63" t="s">
        <v>3179</v>
      </c>
      <c r="H255" s="63" t="s">
        <v>28</v>
      </c>
      <c r="I255" s="63" t="s">
        <v>809</v>
      </c>
    </row>
    <row r="256" ht="11.25" customHeight="1">
      <c r="A256" s="63" t="s">
        <v>2257</v>
      </c>
      <c r="B256" s="63" t="s">
        <v>16</v>
      </c>
      <c r="C256" s="63" t="s">
        <v>3180</v>
      </c>
      <c r="D256" s="63" t="s">
        <v>3181</v>
      </c>
      <c r="E256" s="63" t="s">
        <v>3182</v>
      </c>
      <c r="F256" s="63" t="s">
        <v>2559</v>
      </c>
      <c r="G256" s="63" t="s">
        <v>3183</v>
      </c>
      <c r="H256" s="63" t="s">
        <v>28</v>
      </c>
      <c r="I256" s="63" t="s">
        <v>809</v>
      </c>
    </row>
    <row r="257" ht="11.25" customHeight="1">
      <c r="A257" s="63" t="s">
        <v>2257</v>
      </c>
      <c r="B257" s="63" t="s">
        <v>16</v>
      </c>
      <c r="C257" s="63" t="s">
        <v>3184</v>
      </c>
      <c r="D257" s="63" t="s">
        <v>3185</v>
      </c>
      <c r="E257" s="63" t="s">
        <v>3186</v>
      </c>
      <c r="F257" s="63" t="s">
        <v>2559</v>
      </c>
      <c r="G257" s="63" t="s">
        <v>3187</v>
      </c>
      <c r="H257" s="63" t="s">
        <v>28</v>
      </c>
      <c r="I257" s="63" t="s">
        <v>809</v>
      </c>
    </row>
    <row r="258" ht="11.25" customHeight="1">
      <c r="A258" s="63" t="s">
        <v>2257</v>
      </c>
      <c r="B258" s="63" t="s">
        <v>16</v>
      </c>
      <c r="C258" s="63" t="s">
        <v>3188</v>
      </c>
      <c r="D258" s="63" t="s">
        <v>3189</v>
      </c>
      <c r="E258" s="63" t="s">
        <v>3190</v>
      </c>
      <c r="F258" s="63" t="s">
        <v>2354</v>
      </c>
      <c r="G258" s="63" t="s">
        <v>3191</v>
      </c>
      <c r="H258" s="63" t="s">
        <v>28</v>
      </c>
      <c r="I258" s="63" t="s">
        <v>809</v>
      </c>
    </row>
    <row r="259" ht="11.25" customHeight="1">
      <c r="A259" s="63" t="s">
        <v>2257</v>
      </c>
      <c r="B259" s="63" t="s">
        <v>16</v>
      </c>
      <c r="C259" s="63" t="s">
        <v>3192</v>
      </c>
      <c r="D259" s="63" t="s">
        <v>3193</v>
      </c>
      <c r="E259" s="63" t="s">
        <v>3194</v>
      </c>
      <c r="F259" s="63" t="s">
        <v>2391</v>
      </c>
      <c r="G259" s="63" t="s">
        <v>3195</v>
      </c>
      <c r="H259" s="63" t="s">
        <v>28</v>
      </c>
      <c r="I259" s="63" t="s">
        <v>809</v>
      </c>
    </row>
    <row r="260" ht="11.25" customHeight="1">
      <c r="A260" s="63" t="s">
        <v>2257</v>
      </c>
      <c r="B260" s="63" t="s">
        <v>16</v>
      </c>
      <c r="C260" s="63" t="s">
        <v>3196</v>
      </c>
      <c r="D260" s="63" t="s">
        <v>3197</v>
      </c>
      <c r="E260" s="63" t="s">
        <v>3198</v>
      </c>
      <c r="F260" s="63" t="s">
        <v>3199</v>
      </c>
      <c r="G260" s="63" t="s">
        <v>28</v>
      </c>
      <c r="H260" s="63" t="s">
        <v>28</v>
      </c>
      <c r="I260" s="63" t="s">
        <v>809</v>
      </c>
    </row>
    <row r="261" ht="11.25" customHeight="1">
      <c r="A261" s="63" t="s">
        <v>2257</v>
      </c>
      <c r="B261" s="63" t="s">
        <v>16</v>
      </c>
      <c r="C261" s="63" t="s">
        <v>3200</v>
      </c>
      <c r="D261" s="63" t="s">
        <v>3201</v>
      </c>
      <c r="E261" s="63" t="s">
        <v>3202</v>
      </c>
      <c r="F261" s="63" t="s">
        <v>2573</v>
      </c>
      <c r="G261" s="63" t="s">
        <v>3203</v>
      </c>
      <c r="H261" s="63" t="s">
        <v>28</v>
      </c>
      <c r="I261" s="63" t="s">
        <v>809</v>
      </c>
    </row>
    <row r="262" ht="11.25" customHeight="1">
      <c r="A262" s="63" t="s">
        <v>2257</v>
      </c>
      <c r="B262" s="63" t="s">
        <v>16</v>
      </c>
      <c r="C262" s="63" t="s">
        <v>3204</v>
      </c>
      <c r="D262" s="63" t="s">
        <v>3205</v>
      </c>
      <c r="E262" s="63" t="s">
        <v>3206</v>
      </c>
      <c r="F262" s="63" t="s">
        <v>2306</v>
      </c>
      <c r="G262" s="63" t="s">
        <v>28</v>
      </c>
      <c r="H262" s="63" t="s">
        <v>28</v>
      </c>
      <c r="I262" s="63" t="s">
        <v>809</v>
      </c>
    </row>
    <row r="263" ht="11.25" customHeight="1">
      <c r="A263" s="63" t="s">
        <v>2257</v>
      </c>
      <c r="B263" s="63" t="s">
        <v>16</v>
      </c>
      <c r="C263" s="63" t="s">
        <v>3207</v>
      </c>
      <c r="D263" s="63" t="s">
        <v>3208</v>
      </c>
      <c r="E263" s="63" t="s">
        <v>3209</v>
      </c>
      <c r="F263" s="63" t="s">
        <v>2743</v>
      </c>
      <c r="G263" s="63" t="s">
        <v>28</v>
      </c>
      <c r="H263" s="63" t="s">
        <v>28</v>
      </c>
      <c r="I263" s="63" t="s">
        <v>809</v>
      </c>
    </row>
    <row r="264" ht="11.25" customHeight="1">
      <c r="A264" s="63" t="s">
        <v>2257</v>
      </c>
      <c r="B264" s="63" t="s">
        <v>16</v>
      </c>
      <c r="C264" s="63" t="s">
        <v>3210</v>
      </c>
      <c r="D264" s="63" t="s">
        <v>3211</v>
      </c>
      <c r="E264" s="63" t="s">
        <v>3212</v>
      </c>
      <c r="F264" s="63" t="s">
        <v>2298</v>
      </c>
      <c r="G264" s="63" t="s">
        <v>3213</v>
      </c>
      <c r="H264" s="63" t="s">
        <v>28</v>
      </c>
      <c r="I264" s="63" t="s">
        <v>809</v>
      </c>
    </row>
    <row r="265" ht="11.25" customHeight="1">
      <c r="A265" s="63" t="s">
        <v>2257</v>
      </c>
      <c r="B265" s="63" t="s">
        <v>16</v>
      </c>
      <c r="C265" s="63" t="s">
        <v>3214</v>
      </c>
      <c r="D265" s="63" t="s">
        <v>3215</v>
      </c>
      <c r="E265" s="63" t="s">
        <v>3216</v>
      </c>
      <c r="F265" s="63" t="s">
        <v>2315</v>
      </c>
      <c r="G265" s="63" t="s">
        <v>3217</v>
      </c>
      <c r="H265" s="63" t="s">
        <v>3218</v>
      </c>
      <c r="I265" s="63" t="s">
        <v>809</v>
      </c>
    </row>
    <row r="266" ht="11.25" customHeight="1">
      <c r="A266" s="63" t="s">
        <v>2257</v>
      </c>
      <c r="B266" s="63" t="s">
        <v>16</v>
      </c>
      <c r="C266" s="63" t="s">
        <v>3219</v>
      </c>
      <c r="D266" s="63" t="s">
        <v>3220</v>
      </c>
      <c r="E266" s="63" t="s">
        <v>3221</v>
      </c>
      <c r="F266" s="63" t="s">
        <v>2485</v>
      </c>
      <c r="G266" s="63" t="s">
        <v>2461</v>
      </c>
      <c r="H266" s="63" t="s">
        <v>28</v>
      </c>
      <c r="I266" s="63" t="s">
        <v>809</v>
      </c>
    </row>
    <row r="267" ht="11.25" customHeight="1">
      <c r="A267" s="63" t="s">
        <v>2257</v>
      </c>
      <c r="B267" s="63" t="s">
        <v>16</v>
      </c>
      <c r="C267" s="63" t="s">
        <v>3222</v>
      </c>
      <c r="D267" s="63" t="s">
        <v>3223</v>
      </c>
      <c r="E267" s="63" t="s">
        <v>2431</v>
      </c>
      <c r="F267" s="63" t="s">
        <v>3224</v>
      </c>
      <c r="G267" s="63" t="s">
        <v>3225</v>
      </c>
      <c r="H267" s="63" t="s">
        <v>28</v>
      </c>
      <c r="I267" s="63" t="s">
        <v>809</v>
      </c>
    </row>
    <row r="268" ht="11.25" customHeight="1">
      <c r="A268" s="63" t="s">
        <v>2257</v>
      </c>
      <c r="B268" s="63" t="s">
        <v>16</v>
      </c>
      <c r="C268" s="63" t="s">
        <v>3226</v>
      </c>
      <c r="D268" s="63" t="s">
        <v>3227</v>
      </c>
      <c r="E268" s="63" t="s">
        <v>3228</v>
      </c>
      <c r="F268" s="63" t="s">
        <v>2298</v>
      </c>
      <c r="G268" s="63" t="s">
        <v>3229</v>
      </c>
      <c r="H268" s="63" t="s">
        <v>28</v>
      </c>
      <c r="I268" s="63" t="s">
        <v>809</v>
      </c>
    </row>
    <row r="269" ht="11.25" customHeight="1">
      <c r="A269" s="63" t="s">
        <v>2257</v>
      </c>
      <c r="B269" s="63" t="s">
        <v>16</v>
      </c>
      <c r="C269" s="63" t="s">
        <v>3230</v>
      </c>
      <c r="D269" s="63" t="s">
        <v>3231</v>
      </c>
      <c r="E269" s="63" t="s">
        <v>3232</v>
      </c>
      <c r="F269" s="63" t="s">
        <v>2403</v>
      </c>
      <c r="G269" s="63" t="s">
        <v>28</v>
      </c>
      <c r="H269" s="63" t="s">
        <v>28</v>
      </c>
      <c r="I269" s="63" t="s">
        <v>809</v>
      </c>
    </row>
    <row r="270" ht="11.25" customHeight="1">
      <c r="A270" s="63" t="s">
        <v>2257</v>
      </c>
      <c r="B270" s="63" t="s">
        <v>16</v>
      </c>
      <c r="C270" s="63" t="s">
        <v>3233</v>
      </c>
      <c r="D270" s="63" t="s">
        <v>3234</v>
      </c>
      <c r="E270" s="63" t="s">
        <v>3235</v>
      </c>
      <c r="F270" s="63" t="s">
        <v>2330</v>
      </c>
      <c r="G270" s="63" t="s">
        <v>3236</v>
      </c>
      <c r="H270" s="63" t="s">
        <v>28</v>
      </c>
      <c r="I270" s="63" t="s">
        <v>809</v>
      </c>
    </row>
    <row r="271" ht="11.25" customHeight="1">
      <c r="A271" s="63" t="s">
        <v>2257</v>
      </c>
      <c r="B271" s="63" t="s">
        <v>16</v>
      </c>
      <c r="C271" s="63" t="s">
        <v>3237</v>
      </c>
      <c r="D271" s="63" t="s">
        <v>3238</v>
      </c>
      <c r="E271" s="63" t="s">
        <v>3239</v>
      </c>
      <c r="F271" s="63" t="s">
        <v>2275</v>
      </c>
      <c r="G271" s="63" t="s">
        <v>28</v>
      </c>
      <c r="H271" s="63" t="s">
        <v>28</v>
      </c>
      <c r="I271" s="63" t="s">
        <v>809</v>
      </c>
    </row>
    <row r="272" ht="11.25" customHeight="1">
      <c r="A272" s="63" t="s">
        <v>2257</v>
      </c>
      <c r="B272" s="63" t="s">
        <v>16</v>
      </c>
      <c r="C272" s="63" t="s">
        <v>3240</v>
      </c>
      <c r="D272" s="63" t="s">
        <v>3241</v>
      </c>
      <c r="E272" s="63" t="s">
        <v>3242</v>
      </c>
      <c r="F272" s="63" t="s">
        <v>2743</v>
      </c>
      <c r="G272" s="63" t="s">
        <v>3243</v>
      </c>
      <c r="H272" s="63" t="s">
        <v>28</v>
      </c>
      <c r="I272" s="63" t="s">
        <v>809</v>
      </c>
    </row>
    <row r="273" ht="11.25" customHeight="1">
      <c r="A273" s="63" t="s">
        <v>2257</v>
      </c>
      <c r="B273" s="63" t="s">
        <v>16</v>
      </c>
      <c r="C273" s="63" t="s">
        <v>3244</v>
      </c>
      <c r="D273" s="63" t="s">
        <v>3245</v>
      </c>
      <c r="E273" s="63" t="s">
        <v>3246</v>
      </c>
      <c r="F273" s="63" t="s">
        <v>2743</v>
      </c>
      <c r="G273" s="63" t="s">
        <v>28</v>
      </c>
      <c r="H273" s="63" t="s">
        <v>28</v>
      </c>
      <c r="I273" s="63" t="s">
        <v>809</v>
      </c>
    </row>
    <row r="274" ht="11.25" customHeight="1">
      <c r="A274" s="63" t="s">
        <v>2257</v>
      </c>
      <c r="B274" s="63" t="s">
        <v>16</v>
      </c>
      <c r="C274" s="63" t="s">
        <v>3247</v>
      </c>
      <c r="D274" s="63" t="s">
        <v>3248</v>
      </c>
      <c r="E274" s="63" t="s">
        <v>3249</v>
      </c>
      <c r="F274" s="63" t="s">
        <v>2330</v>
      </c>
      <c r="G274" s="63" t="s">
        <v>28</v>
      </c>
      <c r="H274" s="63" t="s">
        <v>28</v>
      </c>
      <c r="I274" s="63" t="s">
        <v>809</v>
      </c>
    </row>
    <row r="275" ht="11.25" customHeight="1">
      <c r="A275" s="63" t="s">
        <v>2257</v>
      </c>
      <c r="B275" s="63" t="s">
        <v>16</v>
      </c>
      <c r="C275" s="63" t="s">
        <v>3250</v>
      </c>
      <c r="D275" s="63" t="s">
        <v>3251</v>
      </c>
      <c r="E275" s="63" t="s">
        <v>3252</v>
      </c>
      <c r="F275" s="63" t="s">
        <v>2322</v>
      </c>
      <c r="G275" s="63" t="s">
        <v>28</v>
      </c>
      <c r="H275" s="63" t="s">
        <v>28</v>
      </c>
      <c r="I275" s="63" t="s">
        <v>809</v>
      </c>
    </row>
    <row r="276" ht="11.25" customHeight="1">
      <c r="A276" s="63" t="s">
        <v>2257</v>
      </c>
      <c r="B276" s="63" t="s">
        <v>16</v>
      </c>
      <c r="C276" s="63" t="s">
        <v>3253</v>
      </c>
      <c r="D276" s="63" t="s">
        <v>3254</v>
      </c>
      <c r="E276" s="63" t="s">
        <v>3255</v>
      </c>
      <c r="F276" s="63" t="s">
        <v>2364</v>
      </c>
      <c r="G276" s="63" t="s">
        <v>3256</v>
      </c>
      <c r="H276" s="63" t="s">
        <v>28</v>
      </c>
      <c r="I276" s="63" t="s">
        <v>809</v>
      </c>
    </row>
    <row r="277" ht="11.25" customHeight="1">
      <c r="A277" s="63" t="s">
        <v>2257</v>
      </c>
      <c r="B277" s="63" t="s">
        <v>16</v>
      </c>
      <c r="C277" s="63" t="s">
        <v>3257</v>
      </c>
      <c r="D277" s="63" t="s">
        <v>3258</v>
      </c>
      <c r="E277" s="63" t="s">
        <v>3259</v>
      </c>
      <c r="F277" s="63" t="s">
        <v>3260</v>
      </c>
      <c r="G277" s="63" t="s">
        <v>28</v>
      </c>
      <c r="H277" s="63" t="s">
        <v>28</v>
      </c>
      <c r="I277" s="63" t="s">
        <v>809</v>
      </c>
    </row>
    <row r="278" ht="11.25" customHeight="1">
      <c r="A278" s="63" t="s">
        <v>2257</v>
      </c>
      <c r="B278" s="63" t="s">
        <v>16</v>
      </c>
      <c r="C278" s="63" t="s">
        <v>3261</v>
      </c>
      <c r="D278" s="63" t="s">
        <v>3262</v>
      </c>
      <c r="E278" s="63" t="s">
        <v>3263</v>
      </c>
      <c r="F278" s="63" t="s">
        <v>2322</v>
      </c>
      <c r="G278" s="63" t="s">
        <v>3256</v>
      </c>
      <c r="H278" s="63" t="s">
        <v>28</v>
      </c>
      <c r="I278" s="63" t="s">
        <v>809</v>
      </c>
    </row>
    <row r="279" ht="11.25" customHeight="1">
      <c r="A279" s="63" t="s">
        <v>2257</v>
      </c>
      <c r="B279" s="63" t="s">
        <v>16</v>
      </c>
      <c r="C279" s="63" t="s">
        <v>3264</v>
      </c>
      <c r="D279" s="63" t="s">
        <v>3265</v>
      </c>
      <c r="E279" s="63" t="s">
        <v>3266</v>
      </c>
      <c r="F279" s="63" t="s">
        <v>3267</v>
      </c>
      <c r="G279" s="63" t="s">
        <v>3268</v>
      </c>
      <c r="H279" s="63" t="s">
        <v>28</v>
      </c>
      <c r="I279" s="63" t="s">
        <v>809</v>
      </c>
    </row>
    <row r="280" ht="11.25" customHeight="1">
      <c r="A280" s="63" t="s">
        <v>2257</v>
      </c>
      <c r="B280" s="63" t="s">
        <v>16</v>
      </c>
      <c r="C280" s="63" t="s">
        <v>3269</v>
      </c>
      <c r="D280" s="63" t="s">
        <v>3270</v>
      </c>
      <c r="E280" s="63" t="s">
        <v>3271</v>
      </c>
      <c r="F280" s="63" t="s">
        <v>3272</v>
      </c>
      <c r="G280" s="63" t="s">
        <v>28</v>
      </c>
      <c r="H280" s="63" t="s">
        <v>28</v>
      </c>
      <c r="I280" s="63" t="s">
        <v>809</v>
      </c>
    </row>
    <row r="281" ht="11.25" customHeight="1">
      <c r="A281" s="63" t="s">
        <v>2257</v>
      </c>
      <c r="B281" s="63" t="s">
        <v>16</v>
      </c>
      <c r="C281" s="63" t="s">
        <v>3273</v>
      </c>
      <c r="D281" s="63" t="s">
        <v>3274</v>
      </c>
      <c r="E281" s="63" t="s">
        <v>3275</v>
      </c>
      <c r="F281" s="63" t="s">
        <v>2330</v>
      </c>
      <c r="G281" s="63" t="s">
        <v>3276</v>
      </c>
      <c r="H281" s="63" t="s">
        <v>3277</v>
      </c>
      <c r="I281" s="63" t="s">
        <v>809</v>
      </c>
    </row>
    <row r="282" ht="11.25" customHeight="1">
      <c r="A282" s="63" t="s">
        <v>2257</v>
      </c>
      <c r="B282" s="63" t="s">
        <v>16</v>
      </c>
      <c r="C282" s="63" t="s">
        <v>3278</v>
      </c>
      <c r="D282" s="63" t="s">
        <v>3279</v>
      </c>
      <c r="E282" s="63" t="s">
        <v>3280</v>
      </c>
      <c r="F282" s="63" t="s">
        <v>3281</v>
      </c>
      <c r="G282" s="63" t="s">
        <v>3282</v>
      </c>
      <c r="H282" s="63" t="s">
        <v>28</v>
      </c>
      <c r="I282" s="63" t="s">
        <v>809</v>
      </c>
    </row>
    <row r="283" ht="11.25" customHeight="1">
      <c r="A283" s="63" t="s">
        <v>2257</v>
      </c>
      <c r="B283" s="63" t="s">
        <v>16</v>
      </c>
      <c r="C283" s="63" t="s">
        <v>3283</v>
      </c>
      <c r="D283" s="63" t="s">
        <v>3284</v>
      </c>
      <c r="E283" s="63" t="s">
        <v>3285</v>
      </c>
      <c r="F283" s="63" t="s">
        <v>2293</v>
      </c>
      <c r="G283" s="63" t="s">
        <v>3286</v>
      </c>
      <c r="H283" s="63" t="s">
        <v>28</v>
      </c>
      <c r="I283" s="63" t="s">
        <v>809</v>
      </c>
    </row>
    <row r="284" ht="11.25" customHeight="1">
      <c r="A284" s="63" t="s">
        <v>2257</v>
      </c>
      <c r="B284" s="63" t="s">
        <v>16</v>
      </c>
      <c r="C284" s="63" t="s">
        <v>3287</v>
      </c>
      <c r="D284" s="63" t="s">
        <v>3288</v>
      </c>
      <c r="E284" s="63" t="s">
        <v>3289</v>
      </c>
      <c r="F284" s="63" t="s">
        <v>2322</v>
      </c>
      <c r="G284" s="63" t="s">
        <v>28</v>
      </c>
      <c r="H284" s="63" t="s">
        <v>28</v>
      </c>
      <c r="I284" s="63" t="s">
        <v>809</v>
      </c>
    </row>
    <row r="285" ht="11.25" customHeight="1">
      <c r="A285" s="63" t="s">
        <v>2257</v>
      </c>
      <c r="B285" s="63" t="s">
        <v>16</v>
      </c>
      <c r="C285" s="63" t="s">
        <v>3290</v>
      </c>
      <c r="D285" s="63" t="s">
        <v>3291</v>
      </c>
      <c r="E285" s="63" t="s">
        <v>3292</v>
      </c>
      <c r="F285" s="63" t="s">
        <v>2395</v>
      </c>
      <c r="G285" s="63" t="s">
        <v>28</v>
      </c>
      <c r="H285" s="63" t="s">
        <v>28</v>
      </c>
      <c r="I285" s="63" t="s">
        <v>809</v>
      </c>
    </row>
    <row r="286" ht="11.25" customHeight="1">
      <c r="A286" s="63" t="s">
        <v>2257</v>
      </c>
      <c r="B286" s="63" t="s">
        <v>16</v>
      </c>
      <c r="C286" s="63" t="s">
        <v>3293</v>
      </c>
      <c r="D286" s="63" t="s">
        <v>3294</v>
      </c>
      <c r="E286" s="63" t="s">
        <v>3295</v>
      </c>
      <c r="F286" s="63" t="s">
        <v>2322</v>
      </c>
      <c r="G286" s="63" t="s">
        <v>3296</v>
      </c>
      <c r="H286" s="63" t="s">
        <v>28</v>
      </c>
      <c r="I286" s="63" t="s">
        <v>809</v>
      </c>
    </row>
    <row r="287" ht="11.25" customHeight="1">
      <c r="A287" s="63" t="s">
        <v>2257</v>
      </c>
      <c r="B287" s="63" t="s">
        <v>16</v>
      </c>
      <c r="C287" s="63" t="s">
        <v>3297</v>
      </c>
      <c r="D287" s="63" t="s">
        <v>3298</v>
      </c>
      <c r="E287" s="63" t="s">
        <v>3299</v>
      </c>
      <c r="F287" s="63" t="s">
        <v>2364</v>
      </c>
      <c r="G287" s="63" t="s">
        <v>28</v>
      </c>
      <c r="H287" s="63" t="s">
        <v>28</v>
      </c>
      <c r="I287" s="63" t="s">
        <v>809</v>
      </c>
    </row>
    <row r="288" ht="11.25" customHeight="1">
      <c r="A288" s="63" t="s">
        <v>2257</v>
      </c>
      <c r="B288" s="63" t="s">
        <v>16</v>
      </c>
      <c r="C288" s="63" t="s">
        <v>3300</v>
      </c>
      <c r="D288" s="63" t="s">
        <v>3301</v>
      </c>
      <c r="E288" s="63" t="s">
        <v>3302</v>
      </c>
      <c r="F288" s="63" t="s">
        <v>2750</v>
      </c>
      <c r="G288" s="63" t="s">
        <v>3303</v>
      </c>
      <c r="H288" s="63" t="s">
        <v>28</v>
      </c>
      <c r="I288" s="63" t="s">
        <v>809</v>
      </c>
    </row>
    <row r="289" ht="11.25" customHeight="1">
      <c r="A289" s="63" t="s">
        <v>2257</v>
      </c>
      <c r="B289" s="63" t="s">
        <v>16</v>
      </c>
      <c r="C289" s="63" t="s">
        <v>3304</v>
      </c>
      <c r="D289" s="63" t="s">
        <v>3305</v>
      </c>
      <c r="E289" s="63" t="s">
        <v>3306</v>
      </c>
      <c r="F289" s="63" t="s">
        <v>2275</v>
      </c>
      <c r="G289" s="63" t="s">
        <v>3307</v>
      </c>
      <c r="H289" s="63" t="s">
        <v>28</v>
      </c>
      <c r="I289" s="63" t="s">
        <v>809</v>
      </c>
    </row>
    <row r="290" ht="11.25" customHeight="1">
      <c r="A290" s="63" t="s">
        <v>2257</v>
      </c>
      <c r="B290" s="63" t="s">
        <v>16</v>
      </c>
      <c r="C290" s="63" t="s">
        <v>3308</v>
      </c>
      <c r="D290" s="63" t="s">
        <v>3309</v>
      </c>
      <c r="E290" s="63" t="s">
        <v>3310</v>
      </c>
      <c r="F290" s="63" t="s">
        <v>3311</v>
      </c>
      <c r="G290" s="63" t="s">
        <v>28</v>
      </c>
      <c r="H290" s="63" t="s">
        <v>28</v>
      </c>
      <c r="I290" s="63" t="s">
        <v>809</v>
      </c>
    </row>
    <row r="291" ht="11.25" customHeight="1">
      <c r="A291" s="63" t="s">
        <v>2257</v>
      </c>
      <c r="B291" s="63" t="s">
        <v>16</v>
      </c>
      <c r="C291" s="63" t="s">
        <v>3312</v>
      </c>
      <c r="D291" s="63" t="s">
        <v>3313</v>
      </c>
      <c r="E291" s="63" t="s">
        <v>3314</v>
      </c>
      <c r="F291" s="63" t="s">
        <v>2298</v>
      </c>
      <c r="G291" s="63" t="s">
        <v>28</v>
      </c>
      <c r="H291" s="63" t="s">
        <v>28</v>
      </c>
      <c r="I291" s="63" t="s">
        <v>809</v>
      </c>
    </row>
    <row r="292" ht="11.25" customHeight="1">
      <c r="A292" s="63" t="s">
        <v>2257</v>
      </c>
      <c r="B292" s="63" t="s">
        <v>16</v>
      </c>
      <c r="C292" s="63" t="s">
        <v>3315</v>
      </c>
      <c r="D292" s="63" t="s">
        <v>3316</v>
      </c>
      <c r="E292" s="63" t="s">
        <v>3317</v>
      </c>
      <c r="F292" s="63" t="s">
        <v>2315</v>
      </c>
      <c r="G292" s="63" t="s">
        <v>28</v>
      </c>
      <c r="H292" s="63" t="s">
        <v>28</v>
      </c>
      <c r="I292" s="63" t="s">
        <v>809</v>
      </c>
    </row>
    <row r="293" ht="11.25" customHeight="1">
      <c r="A293" s="63" t="s">
        <v>2257</v>
      </c>
      <c r="B293" s="63" t="s">
        <v>16</v>
      </c>
      <c r="C293" s="63" t="s">
        <v>3318</v>
      </c>
      <c r="D293" s="63" t="s">
        <v>3319</v>
      </c>
      <c r="E293" s="63" t="s">
        <v>3320</v>
      </c>
      <c r="F293" s="63" t="s">
        <v>2298</v>
      </c>
      <c r="G293" s="63" t="s">
        <v>28</v>
      </c>
      <c r="H293" s="63" t="s">
        <v>28</v>
      </c>
      <c r="I293" s="63" t="s">
        <v>809</v>
      </c>
    </row>
    <row r="294" ht="11.25" customHeight="1">
      <c r="A294" s="63" t="s">
        <v>2257</v>
      </c>
      <c r="B294" s="63" t="s">
        <v>16</v>
      </c>
      <c r="C294" s="63" t="s">
        <v>3321</v>
      </c>
      <c r="D294" s="63" t="s">
        <v>3322</v>
      </c>
      <c r="E294" s="63" t="s">
        <v>3323</v>
      </c>
      <c r="F294" s="63" t="s">
        <v>2279</v>
      </c>
      <c r="G294" s="63" t="s">
        <v>3324</v>
      </c>
      <c r="H294" s="63" t="s">
        <v>28</v>
      </c>
      <c r="I294" s="63" t="s">
        <v>809</v>
      </c>
    </row>
    <row r="295" ht="11.25" customHeight="1">
      <c r="A295" s="63" t="s">
        <v>2257</v>
      </c>
      <c r="B295" s="63" t="s">
        <v>16</v>
      </c>
      <c r="C295" s="63" t="s">
        <v>3325</v>
      </c>
      <c r="D295" s="63" t="s">
        <v>3326</v>
      </c>
      <c r="E295" s="63" t="s">
        <v>3327</v>
      </c>
      <c r="F295" s="63" t="s">
        <v>2407</v>
      </c>
      <c r="G295" s="63" t="s">
        <v>28</v>
      </c>
      <c r="H295" s="63" t="s">
        <v>28</v>
      </c>
      <c r="I295" s="63" t="s">
        <v>809</v>
      </c>
    </row>
    <row r="296" ht="11.25" customHeight="1">
      <c r="A296" s="63" t="s">
        <v>2257</v>
      </c>
      <c r="B296" s="63" t="s">
        <v>16</v>
      </c>
      <c r="C296" s="63" t="s">
        <v>3328</v>
      </c>
      <c r="D296" s="63" t="s">
        <v>3329</v>
      </c>
      <c r="E296" s="63" t="s">
        <v>3330</v>
      </c>
      <c r="F296" s="63" t="s">
        <v>2407</v>
      </c>
      <c r="G296" s="63" t="s">
        <v>28</v>
      </c>
      <c r="H296" s="63" t="s">
        <v>28</v>
      </c>
      <c r="I296" s="63" t="s">
        <v>809</v>
      </c>
    </row>
    <row r="297" ht="11.25" customHeight="1">
      <c r="A297" s="63" t="s">
        <v>2257</v>
      </c>
      <c r="B297" s="63" t="s">
        <v>16</v>
      </c>
      <c r="C297" s="63" t="s">
        <v>3331</v>
      </c>
      <c r="D297" s="63" t="s">
        <v>3332</v>
      </c>
      <c r="E297" s="63" t="s">
        <v>3333</v>
      </c>
      <c r="F297" s="63" t="s">
        <v>3334</v>
      </c>
      <c r="G297" s="63" t="s">
        <v>28</v>
      </c>
      <c r="H297" s="63" t="s">
        <v>28</v>
      </c>
      <c r="I297" s="63" t="s">
        <v>809</v>
      </c>
    </row>
    <row r="298" ht="11.25" customHeight="1">
      <c r="A298" s="63" t="s">
        <v>2257</v>
      </c>
      <c r="B298" s="63" t="s">
        <v>16</v>
      </c>
      <c r="C298" s="63" t="s">
        <v>3335</v>
      </c>
      <c r="D298" s="63" t="s">
        <v>3336</v>
      </c>
      <c r="E298" s="63" t="s">
        <v>3337</v>
      </c>
      <c r="F298" s="63" t="s">
        <v>2298</v>
      </c>
      <c r="G298" s="63" t="s">
        <v>28</v>
      </c>
      <c r="H298" s="63" t="s">
        <v>28</v>
      </c>
      <c r="I298" s="63" t="s">
        <v>809</v>
      </c>
    </row>
    <row r="299" ht="11.25" customHeight="1">
      <c r="A299" s="63" t="s">
        <v>2257</v>
      </c>
      <c r="B299" s="63" t="s">
        <v>16</v>
      </c>
      <c r="C299" s="63" t="s">
        <v>3338</v>
      </c>
      <c r="D299" s="63" t="s">
        <v>3339</v>
      </c>
      <c r="E299" s="63" t="s">
        <v>3340</v>
      </c>
      <c r="F299" s="63" t="s">
        <v>2306</v>
      </c>
      <c r="G299" s="63" t="s">
        <v>28</v>
      </c>
      <c r="H299" s="63" t="s">
        <v>28</v>
      </c>
      <c r="I299" s="63" t="s">
        <v>809</v>
      </c>
    </row>
    <row r="300" ht="11.25" customHeight="1">
      <c r="A300" s="63" t="s">
        <v>2257</v>
      </c>
      <c r="B300" s="63" t="s">
        <v>16</v>
      </c>
      <c r="C300" s="63" t="s">
        <v>3341</v>
      </c>
      <c r="D300" s="63" t="s">
        <v>3342</v>
      </c>
      <c r="E300" s="63" t="s">
        <v>3343</v>
      </c>
      <c r="F300" s="63" t="s">
        <v>2395</v>
      </c>
      <c r="G300" s="63" t="s">
        <v>28</v>
      </c>
      <c r="H300" s="63" t="s">
        <v>28</v>
      </c>
      <c r="I300" s="63" t="s">
        <v>809</v>
      </c>
    </row>
    <row r="301" ht="11.25" customHeight="1">
      <c r="A301" s="63" t="s">
        <v>2257</v>
      </c>
      <c r="B301" s="63" t="s">
        <v>16</v>
      </c>
      <c r="C301" s="63" t="s">
        <v>3344</v>
      </c>
      <c r="D301" s="63" t="s">
        <v>3345</v>
      </c>
      <c r="E301" s="63" t="s">
        <v>3346</v>
      </c>
      <c r="F301" s="63" t="s">
        <v>2364</v>
      </c>
      <c r="G301" s="63" t="s">
        <v>28</v>
      </c>
      <c r="H301" s="63" t="s">
        <v>28</v>
      </c>
      <c r="I301" s="63" t="s">
        <v>809</v>
      </c>
    </row>
    <row r="302" ht="11.25" customHeight="1">
      <c r="A302" s="63" t="s">
        <v>2257</v>
      </c>
      <c r="B302" s="63" t="s">
        <v>16</v>
      </c>
      <c r="C302" s="63" t="s">
        <v>3347</v>
      </c>
      <c r="D302" s="63" t="s">
        <v>3348</v>
      </c>
      <c r="E302" s="63" t="s">
        <v>3349</v>
      </c>
      <c r="F302" s="63" t="s">
        <v>2395</v>
      </c>
      <c r="G302" s="63" t="s">
        <v>28</v>
      </c>
      <c r="H302" s="63" t="s">
        <v>28</v>
      </c>
      <c r="I302" s="63" t="s">
        <v>809</v>
      </c>
    </row>
    <row r="303" ht="11.25" customHeight="1">
      <c r="A303" s="63" t="s">
        <v>2257</v>
      </c>
      <c r="B303" s="63" t="s">
        <v>16</v>
      </c>
      <c r="C303" s="63" t="s">
        <v>3350</v>
      </c>
      <c r="D303" s="63" t="s">
        <v>3351</v>
      </c>
      <c r="E303" s="63" t="s">
        <v>3352</v>
      </c>
      <c r="F303" s="63" t="s">
        <v>2364</v>
      </c>
      <c r="G303" s="63" t="s">
        <v>28</v>
      </c>
      <c r="H303" s="63" t="s">
        <v>28</v>
      </c>
      <c r="I303" s="63" t="s">
        <v>809</v>
      </c>
    </row>
    <row r="304" ht="11.25" customHeight="1">
      <c r="A304" s="63" t="s">
        <v>2257</v>
      </c>
      <c r="B304" s="63" t="s">
        <v>16</v>
      </c>
      <c r="C304" s="63" t="s">
        <v>3353</v>
      </c>
      <c r="D304" s="63" t="s">
        <v>3354</v>
      </c>
      <c r="E304" s="63" t="s">
        <v>3355</v>
      </c>
      <c r="F304" s="63" t="s">
        <v>2391</v>
      </c>
      <c r="G304" s="63" t="s">
        <v>28</v>
      </c>
      <c r="H304" s="63" t="s">
        <v>28</v>
      </c>
      <c r="I304" s="63" t="s">
        <v>809</v>
      </c>
    </row>
    <row r="305" ht="11.25" customHeight="1">
      <c r="A305" s="63" t="s">
        <v>2257</v>
      </c>
      <c r="B305" s="63" t="s">
        <v>16</v>
      </c>
      <c r="C305" s="63" t="s">
        <v>3356</v>
      </c>
      <c r="D305" s="63" t="s">
        <v>3357</v>
      </c>
      <c r="E305" s="63" t="s">
        <v>3358</v>
      </c>
      <c r="F305" s="63" t="s">
        <v>2743</v>
      </c>
      <c r="G305" s="63" t="s">
        <v>28</v>
      </c>
      <c r="H305" s="63" t="s">
        <v>28</v>
      </c>
      <c r="I305" s="63" t="s">
        <v>809</v>
      </c>
    </row>
    <row r="306" ht="11.25" customHeight="1">
      <c r="A306" s="63" t="s">
        <v>2257</v>
      </c>
      <c r="B306" s="63" t="s">
        <v>16</v>
      </c>
      <c r="C306" s="63" t="s">
        <v>3359</v>
      </c>
      <c r="D306" s="63" t="s">
        <v>3360</v>
      </c>
      <c r="E306" s="63" t="s">
        <v>3361</v>
      </c>
      <c r="F306" s="63" t="s">
        <v>2315</v>
      </c>
      <c r="G306" s="63" t="s">
        <v>3362</v>
      </c>
      <c r="H306" s="63" t="s">
        <v>28</v>
      </c>
      <c r="I306" s="63" t="s">
        <v>809</v>
      </c>
    </row>
    <row r="307" ht="11.25" customHeight="1">
      <c r="A307" s="63" t="s">
        <v>2257</v>
      </c>
      <c r="B307" s="63" t="s">
        <v>16</v>
      </c>
      <c r="C307" s="63" t="s">
        <v>3363</v>
      </c>
      <c r="D307" s="63" t="s">
        <v>3364</v>
      </c>
      <c r="E307" s="63" t="s">
        <v>3365</v>
      </c>
      <c r="F307" s="63" t="s">
        <v>2364</v>
      </c>
      <c r="G307" s="63" t="s">
        <v>28</v>
      </c>
      <c r="H307" s="63" t="s">
        <v>28</v>
      </c>
      <c r="I307" s="63" t="s">
        <v>809</v>
      </c>
    </row>
    <row r="308" ht="11.25" customHeight="1">
      <c r="A308" s="63" t="s">
        <v>2257</v>
      </c>
      <c r="B308" s="63" t="s">
        <v>16</v>
      </c>
      <c r="C308" s="63" t="s">
        <v>3366</v>
      </c>
      <c r="D308" s="63" t="s">
        <v>3367</v>
      </c>
      <c r="E308" s="63" t="s">
        <v>3368</v>
      </c>
      <c r="F308" s="63" t="s">
        <v>2407</v>
      </c>
      <c r="G308" s="63" t="s">
        <v>28</v>
      </c>
      <c r="H308" s="63" t="s">
        <v>28</v>
      </c>
      <c r="I308" s="63" t="s">
        <v>809</v>
      </c>
    </row>
    <row r="309" ht="11.25" customHeight="1">
      <c r="A309" s="63" t="s">
        <v>2257</v>
      </c>
      <c r="B309" s="63" t="s">
        <v>16</v>
      </c>
      <c r="C309" s="63" t="s">
        <v>3369</v>
      </c>
      <c r="D309" s="63" t="s">
        <v>3370</v>
      </c>
      <c r="E309" s="63" t="s">
        <v>3371</v>
      </c>
      <c r="F309" s="63" t="s">
        <v>2395</v>
      </c>
      <c r="G309" s="63" t="s">
        <v>28</v>
      </c>
      <c r="H309" s="63" t="s">
        <v>28</v>
      </c>
      <c r="I309" s="63" t="s">
        <v>809</v>
      </c>
    </row>
    <row r="310" ht="11.25" customHeight="1">
      <c r="A310" s="63" t="s">
        <v>2257</v>
      </c>
      <c r="B310" s="63" t="s">
        <v>16</v>
      </c>
      <c r="C310" s="63" t="s">
        <v>3372</v>
      </c>
      <c r="D310" s="63" t="s">
        <v>3373</v>
      </c>
      <c r="E310" s="63" t="s">
        <v>3374</v>
      </c>
      <c r="F310" s="63" t="s">
        <v>3375</v>
      </c>
      <c r="G310" s="63" t="s">
        <v>3376</v>
      </c>
      <c r="H310" s="63" t="s">
        <v>28</v>
      </c>
      <c r="I310" s="63" t="s">
        <v>809</v>
      </c>
    </row>
    <row r="311" ht="11.25" customHeight="1">
      <c r="A311" s="63" t="s">
        <v>2257</v>
      </c>
      <c r="B311" s="63" t="s">
        <v>16</v>
      </c>
      <c r="C311" s="63" t="s">
        <v>3377</v>
      </c>
      <c r="D311" s="63" t="s">
        <v>3378</v>
      </c>
      <c r="E311" s="63" t="s">
        <v>3374</v>
      </c>
      <c r="F311" s="63" t="s">
        <v>3379</v>
      </c>
      <c r="G311" s="63" t="s">
        <v>28</v>
      </c>
      <c r="H311" s="63" t="s">
        <v>28</v>
      </c>
      <c r="I311" s="63" t="s">
        <v>809</v>
      </c>
    </row>
    <row r="312" ht="11.25" customHeight="1">
      <c r="A312" s="63" t="s">
        <v>2257</v>
      </c>
      <c r="B312" s="63" t="s">
        <v>16</v>
      </c>
      <c r="C312" s="63" t="s">
        <v>3380</v>
      </c>
      <c r="D312" s="63" t="s">
        <v>3381</v>
      </c>
      <c r="E312" s="63" t="s">
        <v>3382</v>
      </c>
      <c r="F312" s="63" t="s">
        <v>3383</v>
      </c>
      <c r="G312" s="63" t="s">
        <v>3384</v>
      </c>
      <c r="H312" s="63" t="s">
        <v>28</v>
      </c>
      <c r="I312" s="63" t="s">
        <v>809</v>
      </c>
    </row>
    <row r="313" ht="11.25" customHeight="1">
      <c r="A313" s="63" t="s">
        <v>2257</v>
      </c>
      <c r="B313" s="63" t="s">
        <v>16</v>
      </c>
      <c r="C313" s="63" t="s">
        <v>3385</v>
      </c>
      <c r="D313" s="63" t="s">
        <v>3386</v>
      </c>
      <c r="E313" s="63" t="s">
        <v>3310</v>
      </c>
      <c r="F313" s="63" t="s">
        <v>3387</v>
      </c>
      <c r="G313" s="63" t="s">
        <v>28</v>
      </c>
      <c r="H313" s="63" t="s">
        <v>28</v>
      </c>
      <c r="I313" s="63" t="s">
        <v>809</v>
      </c>
    </row>
    <row r="314" ht="11.25" customHeight="1">
      <c r="A314" s="63" t="s">
        <v>2257</v>
      </c>
      <c r="B314" s="63" t="s">
        <v>16</v>
      </c>
      <c r="C314" s="63" t="s">
        <v>3388</v>
      </c>
      <c r="D314" s="63" t="s">
        <v>3389</v>
      </c>
      <c r="E314" s="63" t="s">
        <v>3390</v>
      </c>
      <c r="F314" s="63" t="s">
        <v>3375</v>
      </c>
      <c r="G314" s="63" t="s">
        <v>3391</v>
      </c>
      <c r="H314" s="63" t="s">
        <v>28</v>
      </c>
      <c r="I314" s="63" t="s">
        <v>809</v>
      </c>
    </row>
    <row r="315" ht="11.25" customHeight="1">
      <c r="A315" s="63" t="s">
        <v>2257</v>
      </c>
      <c r="B315" s="63" t="s">
        <v>16</v>
      </c>
      <c r="C315" s="63" t="s">
        <v>13</v>
      </c>
      <c r="D315" s="63" t="s">
        <v>47</v>
      </c>
      <c r="E315" s="63" t="s">
        <v>50</v>
      </c>
      <c r="F315" s="63" t="s">
        <v>52</v>
      </c>
      <c r="G315" s="63" t="s">
        <v>28</v>
      </c>
      <c r="H315" s="63" t="s">
        <v>28</v>
      </c>
      <c r="I315" s="63" t="s">
        <v>809</v>
      </c>
    </row>
    <row r="316" ht="11.25" customHeight="1">
      <c r="A316" s="63" t="s">
        <v>2257</v>
      </c>
      <c r="B316" s="63" t="s">
        <v>16</v>
      </c>
      <c r="C316" s="63" t="s">
        <v>2281</v>
      </c>
      <c r="D316" s="63" t="s">
        <v>2282</v>
      </c>
      <c r="E316" s="63" t="s">
        <v>2283</v>
      </c>
      <c r="F316" s="63" t="s">
        <v>2284</v>
      </c>
      <c r="G316" s="63" t="s">
        <v>28</v>
      </c>
      <c r="H316" s="63" t="s">
        <v>28</v>
      </c>
      <c r="I316" s="63" t="s">
        <v>895</v>
      </c>
    </row>
    <row r="317" ht="11.25" customHeight="1">
      <c r="A317" s="63" t="s">
        <v>2257</v>
      </c>
      <c r="B317" s="63" t="s">
        <v>16</v>
      </c>
      <c r="C317" s="63" t="s">
        <v>2316</v>
      </c>
      <c r="D317" s="63" t="s">
        <v>2317</v>
      </c>
      <c r="E317" s="63" t="s">
        <v>2318</v>
      </c>
      <c r="F317" s="63" t="s">
        <v>2315</v>
      </c>
      <c r="G317" s="63" t="s">
        <v>28</v>
      </c>
      <c r="H317" s="63" t="s">
        <v>28</v>
      </c>
      <c r="I317" s="63" t="s">
        <v>895</v>
      </c>
    </row>
    <row r="318" ht="11.25" customHeight="1">
      <c r="A318" s="63" t="s">
        <v>2257</v>
      </c>
      <c r="B318" s="63" t="s">
        <v>16</v>
      </c>
      <c r="C318" s="63" t="s">
        <v>2319</v>
      </c>
      <c r="D318" s="63" t="s">
        <v>2320</v>
      </c>
      <c r="E318" s="63" t="s">
        <v>2321</v>
      </c>
      <c r="F318" s="63" t="s">
        <v>2322</v>
      </c>
      <c r="G318" s="63" t="s">
        <v>28</v>
      </c>
      <c r="H318" s="63" t="s">
        <v>28</v>
      </c>
      <c r="I318" s="63" t="s">
        <v>895</v>
      </c>
    </row>
    <row r="319" ht="11.25" customHeight="1">
      <c r="A319" s="63" t="s">
        <v>2257</v>
      </c>
      <c r="B319" s="63" t="s">
        <v>16</v>
      </c>
      <c r="C319" s="63" t="s">
        <v>2332</v>
      </c>
      <c r="D319" s="63" t="s">
        <v>2333</v>
      </c>
      <c r="E319" s="63" t="s">
        <v>2334</v>
      </c>
      <c r="F319" s="63" t="s">
        <v>2330</v>
      </c>
      <c r="G319" s="63" t="s">
        <v>2335</v>
      </c>
      <c r="H319" s="63" t="s">
        <v>28</v>
      </c>
      <c r="I319" s="63" t="s">
        <v>895</v>
      </c>
    </row>
    <row r="320" ht="11.25" customHeight="1">
      <c r="A320" s="63" t="s">
        <v>2257</v>
      </c>
      <c r="B320" s="63" t="s">
        <v>16</v>
      </c>
      <c r="C320" s="63" t="s">
        <v>2366</v>
      </c>
      <c r="D320" s="63" t="s">
        <v>2367</v>
      </c>
      <c r="E320" s="63" t="s">
        <v>2368</v>
      </c>
      <c r="F320" s="63" t="s">
        <v>2322</v>
      </c>
      <c r="G320" s="63" t="s">
        <v>28</v>
      </c>
      <c r="H320" s="63" t="s">
        <v>28</v>
      </c>
      <c r="I320" s="63" t="s">
        <v>895</v>
      </c>
    </row>
    <row r="321" ht="11.25" customHeight="1">
      <c r="A321" s="63" t="s">
        <v>2257</v>
      </c>
      <c r="B321" s="63" t="s">
        <v>16</v>
      </c>
      <c r="C321" s="63" t="s">
        <v>2380</v>
      </c>
      <c r="D321" s="63" t="s">
        <v>2381</v>
      </c>
      <c r="E321" s="63" t="s">
        <v>2382</v>
      </c>
      <c r="F321" s="63" t="s">
        <v>2383</v>
      </c>
      <c r="G321" s="63" t="s">
        <v>28</v>
      </c>
      <c r="H321" s="63" t="s">
        <v>28</v>
      </c>
      <c r="I321" s="63" t="s">
        <v>895</v>
      </c>
    </row>
    <row r="322" ht="11.25" customHeight="1">
      <c r="A322" s="63" t="s">
        <v>2257</v>
      </c>
      <c r="B322" s="63" t="s">
        <v>16</v>
      </c>
      <c r="C322" s="63" t="s">
        <v>2397</v>
      </c>
      <c r="D322" s="63" t="s">
        <v>2398</v>
      </c>
      <c r="E322" s="63" t="s">
        <v>2399</v>
      </c>
      <c r="F322" s="63" t="s">
        <v>2293</v>
      </c>
      <c r="G322" s="63" t="s">
        <v>28</v>
      </c>
      <c r="H322" s="63" t="s">
        <v>28</v>
      </c>
      <c r="I322" s="63" t="s">
        <v>895</v>
      </c>
    </row>
    <row r="323" ht="11.25" customHeight="1">
      <c r="A323" s="63" t="s">
        <v>2257</v>
      </c>
      <c r="B323" s="63" t="s">
        <v>16</v>
      </c>
      <c r="C323" s="63" t="s">
        <v>2400</v>
      </c>
      <c r="D323" s="63" t="s">
        <v>2401</v>
      </c>
      <c r="E323" s="63" t="s">
        <v>2402</v>
      </c>
      <c r="F323" s="63" t="s">
        <v>2403</v>
      </c>
      <c r="G323" s="63" t="s">
        <v>28</v>
      </c>
      <c r="H323" s="63" t="s">
        <v>28</v>
      </c>
      <c r="I323" s="63" t="s">
        <v>895</v>
      </c>
    </row>
    <row r="324" ht="11.25" customHeight="1">
      <c r="A324" s="63" t="s">
        <v>2257</v>
      </c>
      <c r="B324" s="63" t="s">
        <v>16</v>
      </c>
      <c r="C324" s="63" t="s">
        <v>2409</v>
      </c>
      <c r="D324" s="63" t="s">
        <v>2410</v>
      </c>
      <c r="E324" s="63" t="s">
        <v>2411</v>
      </c>
      <c r="F324" s="63" t="s">
        <v>2298</v>
      </c>
      <c r="G324" s="63" t="s">
        <v>2412</v>
      </c>
      <c r="H324" s="63" t="s">
        <v>28</v>
      </c>
      <c r="I324" s="63" t="s">
        <v>895</v>
      </c>
    </row>
    <row r="325" ht="11.25" customHeight="1">
      <c r="A325" s="63" t="s">
        <v>2257</v>
      </c>
      <c r="B325" s="63" t="s">
        <v>16</v>
      </c>
      <c r="C325" s="63" t="s">
        <v>2435</v>
      </c>
      <c r="D325" s="63" t="s">
        <v>2436</v>
      </c>
      <c r="E325" s="63" t="s">
        <v>2437</v>
      </c>
      <c r="F325" s="63" t="s">
        <v>2354</v>
      </c>
      <c r="G325" s="63" t="s">
        <v>28</v>
      </c>
      <c r="H325" s="63" t="s">
        <v>28</v>
      </c>
      <c r="I325" s="63" t="s">
        <v>895</v>
      </c>
    </row>
    <row r="326" ht="11.25" customHeight="1">
      <c r="A326" s="63" t="s">
        <v>2257</v>
      </c>
      <c r="B326" s="63" t="s">
        <v>16</v>
      </c>
      <c r="C326" s="63" t="s">
        <v>2512</v>
      </c>
      <c r="D326" s="63" t="s">
        <v>2513</v>
      </c>
      <c r="E326" s="63" t="s">
        <v>2514</v>
      </c>
      <c r="F326" s="63" t="s">
        <v>2364</v>
      </c>
      <c r="G326" s="63" t="s">
        <v>28</v>
      </c>
      <c r="H326" s="63" t="s">
        <v>28</v>
      </c>
      <c r="I326" s="63" t="s">
        <v>895</v>
      </c>
    </row>
    <row r="327" ht="11.25" customHeight="1">
      <c r="A327" s="63" t="s">
        <v>2257</v>
      </c>
      <c r="B327" s="63" t="s">
        <v>16</v>
      </c>
      <c r="C327" s="63" t="s">
        <v>28</v>
      </c>
      <c r="D327" s="63" t="s">
        <v>2530</v>
      </c>
      <c r="E327" s="63" t="s">
        <v>2531</v>
      </c>
      <c r="F327" s="63" t="s">
        <v>2275</v>
      </c>
      <c r="G327" s="63" t="s">
        <v>28</v>
      </c>
      <c r="H327" s="63" t="s">
        <v>28</v>
      </c>
      <c r="I327" s="63" t="s">
        <v>895</v>
      </c>
    </row>
    <row r="328" ht="11.25" customHeight="1">
      <c r="A328" s="63" t="s">
        <v>2257</v>
      </c>
      <c r="B328" s="63" t="s">
        <v>16</v>
      </c>
      <c r="C328" s="63" t="s">
        <v>2532</v>
      </c>
      <c r="D328" s="63" t="s">
        <v>2533</v>
      </c>
      <c r="E328" s="63" t="s">
        <v>2534</v>
      </c>
      <c r="F328" s="63" t="s">
        <v>2364</v>
      </c>
      <c r="G328" s="63" t="s">
        <v>2535</v>
      </c>
      <c r="H328" s="63" t="s">
        <v>28</v>
      </c>
      <c r="I328" s="63" t="s">
        <v>895</v>
      </c>
    </row>
    <row r="329" ht="11.25" customHeight="1">
      <c r="A329" s="63" t="s">
        <v>2257</v>
      </c>
      <c r="B329" s="63" t="s">
        <v>16</v>
      </c>
      <c r="C329" s="63" t="s">
        <v>2536</v>
      </c>
      <c r="D329" s="63" t="s">
        <v>2537</v>
      </c>
      <c r="E329" s="63" t="s">
        <v>2538</v>
      </c>
      <c r="F329" s="63" t="s">
        <v>2391</v>
      </c>
      <c r="G329" s="63" t="s">
        <v>28</v>
      </c>
      <c r="H329" s="63" t="s">
        <v>28</v>
      </c>
      <c r="I329" s="63" t="s">
        <v>895</v>
      </c>
    </row>
    <row r="330" ht="11.25" customHeight="1">
      <c r="A330" s="63" t="s">
        <v>2257</v>
      </c>
      <c r="B330" s="63" t="s">
        <v>16</v>
      </c>
      <c r="C330" s="63" t="s">
        <v>3392</v>
      </c>
      <c r="D330" s="63" t="s">
        <v>3393</v>
      </c>
      <c r="E330" s="63" t="s">
        <v>3394</v>
      </c>
      <c r="F330" s="63" t="s">
        <v>2298</v>
      </c>
      <c r="G330" s="63" t="s">
        <v>28</v>
      </c>
      <c r="H330" s="63" t="s">
        <v>28</v>
      </c>
      <c r="I330" s="63" t="s">
        <v>895</v>
      </c>
    </row>
    <row r="331" ht="11.25" customHeight="1">
      <c r="A331" s="63" t="s">
        <v>2257</v>
      </c>
      <c r="B331" s="63" t="s">
        <v>16</v>
      </c>
      <c r="C331" s="63" t="s">
        <v>2556</v>
      </c>
      <c r="D331" s="63" t="s">
        <v>2557</v>
      </c>
      <c r="E331" s="63" t="s">
        <v>2558</v>
      </c>
      <c r="F331" s="63" t="s">
        <v>2559</v>
      </c>
      <c r="G331" s="63" t="s">
        <v>2560</v>
      </c>
      <c r="H331" s="63" t="s">
        <v>28</v>
      </c>
      <c r="I331" s="63" t="s">
        <v>895</v>
      </c>
    </row>
    <row r="332" ht="11.25" customHeight="1">
      <c r="A332" s="63" t="s">
        <v>2257</v>
      </c>
      <c r="B332" s="63" t="s">
        <v>16</v>
      </c>
      <c r="C332" s="63" t="s">
        <v>2566</v>
      </c>
      <c r="D332" s="63" t="s">
        <v>2567</v>
      </c>
      <c r="E332" s="63" t="s">
        <v>2568</v>
      </c>
      <c r="F332" s="63" t="s">
        <v>2569</v>
      </c>
      <c r="G332" s="63" t="s">
        <v>28</v>
      </c>
      <c r="H332" s="63" t="s">
        <v>28</v>
      </c>
      <c r="I332" s="63" t="s">
        <v>895</v>
      </c>
    </row>
    <row r="333" ht="11.25" customHeight="1">
      <c r="A333" s="63" t="s">
        <v>2257</v>
      </c>
      <c r="B333" s="63" t="s">
        <v>16</v>
      </c>
      <c r="C333" s="63" t="s">
        <v>2577</v>
      </c>
      <c r="D333" s="63" t="s">
        <v>2578</v>
      </c>
      <c r="E333" s="63" t="s">
        <v>2579</v>
      </c>
      <c r="F333" s="63" t="s">
        <v>2330</v>
      </c>
      <c r="G333" s="63" t="s">
        <v>28</v>
      </c>
      <c r="H333" s="63" t="s">
        <v>28</v>
      </c>
      <c r="I333" s="63" t="s">
        <v>895</v>
      </c>
    </row>
    <row r="334" ht="11.25" customHeight="1">
      <c r="A334" s="63" t="s">
        <v>2257</v>
      </c>
      <c r="B334" s="63" t="s">
        <v>16</v>
      </c>
      <c r="C334" s="63" t="s">
        <v>2580</v>
      </c>
      <c r="D334" s="63" t="s">
        <v>2581</v>
      </c>
      <c r="E334" s="63" t="s">
        <v>2582</v>
      </c>
      <c r="F334" s="63" t="s">
        <v>2364</v>
      </c>
      <c r="G334" s="63" t="s">
        <v>2583</v>
      </c>
      <c r="H334" s="63" t="s">
        <v>28</v>
      </c>
      <c r="I334" s="63" t="s">
        <v>895</v>
      </c>
    </row>
    <row r="335" ht="11.25" customHeight="1">
      <c r="A335" s="63" t="s">
        <v>2257</v>
      </c>
      <c r="B335" s="63" t="s">
        <v>16</v>
      </c>
      <c r="C335" s="63" t="s">
        <v>2584</v>
      </c>
      <c r="D335" s="63" t="s">
        <v>2585</v>
      </c>
      <c r="E335" s="63" t="s">
        <v>2586</v>
      </c>
      <c r="F335" s="63" t="s">
        <v>2298</v>
      </c>
      <c r="G335" s="63" t="s">
        <v>2587</v>
      </c>
      <c r="H335" s="63" t="s">
        <v>28</v>
      </c>
      <c r="I335" s="63" t="s">
        <v>895</v>
      </c>
    </row>
    <row r="336" ht="11.25" customHeight="1">
      <c r="A336" s="63" t="s">
        <v>2257</v>
      </c>
      <c r="B336" s="63" t="s">
        <v>16</v>
      </c>
      <c r="C336" s="63" t="s">
        <v>2609</v>
      </c>
      <c r="D336" s="63" t="s">
        <v>2610</v>
      </c>
      <c r="E336" s="63" t="s">
        <v>2611</v>
      </c>
      <c r="F336" s="63" t="s">
        <v>2403</v>
      </c>
      <c r="G336" s="63" t="s">
        <v>28</v>
      </c>
      <c r="H336" s="63" t="s">
        <v>28</v>
      </c>
      <c r="I336" s="63" t="s">
        <v>895</v>
      </c>
    </row>
    <row r="337" ht="11.25" customHeight="1">
      <c r="A337" s="63" t="s">
        <v>2257</v>
      </c>
      <c r="B337" s="63" t="s">
        <v>16</v>
      </c>
      <c r="C337" s="63" t="s">
        <v>2626</v>
      </c>
      <c r="D337" s="63" t="s">
        <v>2627</v>
      </c>
      <c r="E337" s="63" t="s">
        <v>2628</v>
      </c>
      <c r="F337" s="63" t="s">
        <v>2403</v>
      </c>
      <c r="G337" s="63" t="s">
        <v>2629</v>
      </c>
      <c r="H337" s="63" t="s">
        <v>28</v>
      </c>
      <c r="I337" s="63" t="s">
        <v>895</v>
      </c>
    </row>
    <row r="338" ht="11.25" customHeight="1">
      <c r="A338" s="63" t="s">
        <v>2257</v>
      </c>
      <c r="B338" s="63" t="s">
        <v>16</v>
      </c>
      <c r="C338" s="63" t="s">
        <v>2637</v>
      </c>
      <c r="D338" s="63" t="s">
        <v>2638</v>
      </c>
      <c r="E338" s="63" t="s">
        <v>2639</v>
      </c>
      <c r="F338" s="63" t="s">
        <v>2330</v>
      </c>
      <c r="G338" s="63" t="s">
        <v>2640</v>
      </c>
      <c r="H338" s="63" t="s">
        <v>2641</v>
      </c>
      <c r="I338" s="63" t="s">
        <v>895</v>
      </c>
    </row>
    <row r="339" ht="11.25" customHeight="1">
      <c r="A339" s="63" t="s">
        <v>2257</v>
      </c>
      <c r="B339" s="63" t="s">
        <v>16</v>
      </c>
      <c r="C339" s="63" t="s">
        <v>2649</v>
      </c>
      <c r="D339" s="63" t="s">
        <v>2650</v>
      </c>
      <c r="E339" s="63" t="s">
        <v>2651</v>
      </c>
      <c r="F339" s="63" t="s">
        <v>2403</v>
      </c>
      <c r="G339" s="63" t="s">
        <v>2652</v>
      </c>
      <c r="H339" s="63" t="s">
        <v>28</v>
      </c>
      <c r="I339" s="63" t="s">
        <v>895</v>
      </c>
    </row>
    <row r="340" ht="11.25" customHeight="1">
      <c r="A340" s="63" t="s">
        <v>2257</v>
      </c>
      <c r="B340" s="63" t="s">
        <v>16</v>
      </c>
      <c r="C340" s="63" t="s">
        <v>2653</v>
      </c>
      <c r="D340" s="63" t="s">
        <v>2654</v>
      </c>
      <c r="E340" s="63" t="s">
        <v>2655</v>
      </c>
      <c r="F340" s="63" t="s">
        <v>2573</v>
      </c>
      <c r="G340" s="63" t="s">
        <v>2656</v>
      </c>
      <c r="H340" s="63" t="s">
        <v>28</v>
      </c>
      <c r="I340" s="63" t="s">
        <v>895</v>
      </c>
    </row>
    <row r="341" ht="11.25" customHeight="1">
      <c r="A341" s="63" t="s">
        <v>2257</v>
      </c>
      <c r="B341" s="63" t="s">
        <v>16</v>
      </c>
      <c r="C341" s="63" t="s">
        <v>2657</v>
      </c>
      <c r="D341" s="63" t="s">
        <v>2658</v>
      </c>
      <c r="E341" s="63" t="s">
        <v>2659</v>
      </c>
      <c r="F341" s="63" t="s">
        <v>2573</v>
      </c>
      <c r="G341" s="63" t="s">
        <v>28</v>
      </c>
      <c r="H341" s="63" t="s">
        <v>28</v>
      </c>
      <c r="I341" s="63" t="s">
        <v>895</v>
      </c>
    </row>
    <row r="342" ht="11.25" customHeight="1">
      <c r="A342" s="63" t="s">
        <v>2257</v>
      </c>
      <c r="B342" s="63" t="s">
        <v>16</v>
      </c>
      <c r="C342" s="63" t="s">
        <v>2660</v>
      </c>
      <c r="D342" s="63" t="s">
        <v>2661</v>
      </c>
      <c r="E342" s="63" t="s">
        <v>2662</v>
      </c>
      <c r="F342" s="63" t="s">
        <v>2364</v>
      </c>
      <c r="G342" s="63" t="s">
        <v>2663</v>
      </c>
      <c r="H342" s="63" t="s">
        <v>28</v>
      </c>
      <c r="I342" s="63" t="s">
        <v>895</v>
      </c>
    </row>
    <row r="343" ht="11.25" customHeight="1">
      <c r="A343" s="63" t="s">
        <v>2257</v>
      </c>
      <c r="B343" s="63" t="s">
        <v>16</v>
      </c>
      <c r="C343" s="63" t="s">
        <v>2671</v>
      </c>
      <c r="D343" s="63" t="s">
        <v>2672</v>
      </c>
      <c r="E343" s="63" t="s">
        <v>2673</v>
      </c>
      <c r="F343" s="63" t="s">
        <v>2403</v>
      </c>
      <c r="G343" s="63" t="s">
        <v>28</v>
      </c>
      <c r="H343" s="63" t="s">
        <v>28</v>
      </c>
      <c r="I343" s="63" t="s">
        <v>895</v>
      </c>
    </row>
    <row r="344" ht="11.25" customHeight="1">
      <c r="A344" s="63" t="s">
        <v>2257</v>
      </c>
      <c r="B344" s="63" t="s">
        <v>16</v>
      </c>
      <c r="C344" s="63" t="s">
        <v>2674</v>
      </c>
      <c r="D344" s="63" t="s">
        <v>2675</v>
      </c>
      <c r="E344" s="63" t="s">
        <v>2676</v>
      </c>
      <c r="F344" s="63" t="s">
        <v>2298</v>
      </c>
      <c r="G344" s="63" t="s">
        <v>28</v>
      </c>
      <c r="H344" s="63" t="s">
        <v>28</v>
      </c>
      <c r="I344" s="63" t="s">
        <v>895</v>
      </c>
    </row>
    <row r="345" ht="11.25" customHeight="1">
      <c r="A345" s="63" t="s">
        <v>2257</v>
      </c>
      <c r="B345" s="63" t="s">
        <v>16</v>
      </c>
      <c r="C345" s="63" t="s">
        <v>2681</v>
      </c>
      <c r="D345" s="63" t="s">
        <v>2682</v>
      </c>
      <c r="E345" s="63" t="s">
        <v>2683</v>
      </c>
      <c r="F345" s="63" t="s">
        <v>2407</v>
      </c>
      <c r="G345" s="63" t="s">
        <v>28</v>
      </c>
      <c r="H345" s="63" t="s">
        <v>28</v>
      </c>
      <c r="I345" s="63" t="s">
        <v>895</v>
      </c>
    </row>
    <row r="346" ht="11.25" customHeight="1">
      <c r="A346" s="63" t="s">
        <v>2257</v>
      </c>
      <c r="B346" s="63" t="s">
        <v>16</v>
      </c>
      <c r="C346" s="63" t="s">
        <v>2684</v>
      </c>
      <c r="D346" s="63" t="s">
        <v>2685</v>
      </c>
      <c r="E346" s="63" t="s">
        <v>2686</v>
      </c>
      <c r="F346" s="63" t="s">
        <v>2391</v>
      </c>
      <c r="G346" s="63" t="s">
        <v>28</v>
      </c>
      <c r="H346" s="63" t="s">
        <v>28</v>
      </c>
      <c r="I346" s="63" t="s">
        <v>895</v>
      </c>
    </row>
    <row r="347" ht="11.25" customHeight="1">
      <c r="A347" s="63" t="s">
        <v>2257</v>
      </c>
      <c r="B347" s="63" t="s">
        <v>16</v>
      </c>
      <c r="C347" s="63" t="s">
        <v>2690</v>
      </c>
      <c r="D347" s="63" t="s">
        <v>2691</v>
      </c>
      <c r="E347" s="63" t="s">
        <v>2692</v>
      </c>
      <c r="F347" s="63" t="s">
        <v>2322</v>
      </c>
      <c r="G347" s="63" t="s">
        <v>28</v>
      </c>
      <c r="H347" s="63" t="s">
        <v>28</v>
      </c>
      <c r="I347" s="63" t="s">
        <v>895</v>
      </c>
    </row>
    <row r="348" ht="11.25" customHeight="1">
      <c r="A348" s="63" t="s">
        <v>2257</v>
      </c>
      <c r="B348" s="63" t="s">
        <v>16</v>
      </c>
      <c r="C348" s="63" t="s">
        <v>2693</v>
      </c>
      <c r="D348" s="63" t="s">
        <v>2694</v>
      </c>
      <c r="E348" s="63" t="s">
        <v>2695</v>
      </c>
      <c r="F348" s="63" t="s">
        <v>2696</v>
      </c>
      <c r="G348" s="63" t="s">
        <v>28</v>
      </c>
      <c r="H348" s="63" t="s">
        <v>28</v>
      </c>
      <c r="I348" s="63" t="s">
        <v>895</v>
      </c>
    </row>
    <row r="349" ht="11.25" customHeight="1">
      <c r="A349" s="63" t="s">
        <v>2257</v>
      </c>
      <c r="B349" s="63" t="s">
        <v>16</v>
      </c>
      <c r="C349" s="63" t="s">
        <v>2703</v>
      </c>
      <c r="D349" s="63" t="s">
        <v>2704</v>
      </c>
      <c r="E349" s="63" t="s">
        <v>2705</v>
      </c>
      <c r="F349" s="63" t="s">
        <v>2288</v>
      </c>
      <c r="G349" s="63" t="s">
        <v>28</v>
      </c>
      <c r="H349" s="63" t="s">
        <v>28</v>
      </c>
      <c r="I349" s="63" t="s">
        <v>895</v>
      </c>
    </row>
    <row r="350" ht="11.25" customHeight="1">
      <c r="A350" s="63" t="s">
        <v>2257</v>
      </c>
      <c r="B350" s="63" t="s">
        <v>16</v>
      </c>
      <c r="C350" s="63" t="s">
        <v>3395</v>
      </c>
      <c r="D350" s="63" t="s">
        <v>3396</v>
      </c>
      <c r="E350" s="63" t="s">
        <v>3397</v>
      </c>
      <c r="F350" s="63" t="s">
        <v>2322</v>
      </c>
      <c r="G350" s="63" t="s">
        <v>3398</v>
      </c>
      <c r="H350" s="63" t="s">
        <v>28</v>
      </c>
      <c r="I350" s="63" t="s">
        <v>895</v>
      </c>
    </row>
    <row r="351" ht="11.25" customHeight="1">
      <c r="A351" s="63" t="s">
        <v>2257</v>
      </c>
      <c r="B351" s="63" t="s">
        <v>16</v>
      </c>
      <c r="C351" s="63" t="s">
        <v>2756</v>
      </c>
      <c r="D351" s="63" t="s">
        <v>2757</v>
      </c>
      <c r="E351" s="63" t="s">
        <v>2758</v>
      </c>
      <c r="F351" s="63" t="s">
        <v>2364</v>
      </c>
      <c r="G351" s="63" t="s">
        <v>28</v>
      </c>
      <c r="H351" s="63" t="s">
        <v>28</v>
      </c>
      <c r="I351" s="63" t="s">
        <v>895</v>
      </c>
    </row>
    <row r="352" ht="11.25" customHeight="1">
      <c r="A352" s="63" t="s">
        <v>2257</v>
      </c>
      <c r="B352" s="63" t="s">
        <v>16</v>
      </c>
      <c r="C352" s="63" t="s">
        <v>2763</v>
      </c>
      <c r="D352" s="63" t="s">
        <v>2764</v>
      </c>
      <c r="E352" s="63" t="s">
        <v>2765</v>
      </c>
      <c r="F352" s="63" t="s">
        <v>2322</v>
      </c>
      <c r="G352" s="63" t="s">
        <v>28</v>
      </c>
      <c r="H352" s="63" t="s">
        <v>28</v>
      </c>
      <c r="I352" s="63" t="s">
        <v>895</v>
      </c>
    </row>
    <row r="353" ht="11.25" customHeight="1">
      <c r="A353" s="63" t="s">
        <v>2257</v>
      </c>
      <c r="B353" s="63" t="s">
        <v>16</v>
      </c>
      <c r="C353" s="63" t="s">
        <v>2787</v>
      </c>
      <c r="D353" s="63" t="s">
        <v>2788</v>
      </c>
      <c r="E353" s="63" t="s">
        <v>2789</v>
      </c>
      <c r="F353" s="63" t="s">
        <v>2306</v>
      </c>
      <c r="G353" s="63" t="s">
        <v>28</v>
      </c>
      <c r="H353" s="63" t="s">
        <v>28</v>
      </c>
      <c r="I353" s="63" t="s">
        <v>895</v>
      </c>
    </row>
    <row r="354" ht="11.25" customHeight="1">
      <c r="A354" s="63" t="s">
        <v>2257</v>
      </c>
      <c r="B354" s="63" t="s">
        <v>16</v>
      </c>
      <c r="C354" s="63" t="s">
        <v>2790</v>
      </c>
      <c r="D354" s="63" t="s">
        <v>2791</v>
      </c>
      <c r="E354" s="63" t="s">
        <v>2792</v>
      </c>
      <c r="F354" s="63" t="s">
        <v>2743</v>
      </c>
      <c r="G354" s="63" t="s">
        <v>28</v>
      </c>
      <c r="H354" s="63" t="s">
        <v>28</v>
      </c>
      <c r="I354" s="63" t="s">
        <v>895</v>
      </c>
    </row>
    <row r="355" ht="11.25" customHeight="1">
      <c r="A355" s="63" t="s">
        <v>2257</v>
      </c>
      <c r="B355" s="63" t="s">
        <v>16</v>
      </c>
      <c r="C355" s="63" t="s">
        <v>2796</v>
      </c>
      <c r="D355" s="63" t="s">
        <v>2797</v>
      </c>
      <c r="E355" s="63" t="s">
        <v>2798</v>
      </c>
      <c r="F355" s="63" t="s">
        <v>2288</v>
      </c>
      <c r="G355" s="63" t="s">
        <v>28</v>
      </c>
      <c r="H355" s="63" t="s">
        <v>28</v>
      </c>
      <c r="I355" s="63" t="s">
        <v>895</v>
      </c>
    </row>
    <row r="356" ht="11.25" customHeight="1">
      <c r="A356" s="63" t="s">
        <v>2257</v>
      </c>
      <c r="B356" s="63" t="s">
        <v>16</v>
      </c>
      <c r="C356" s="63" t="s">
        <v>2809</v>
      </c>
      <c r="D356" s="63" t="s">
        <v>2810</v>
      </c>
      <c r="E356" s="63" t="s">
        <v>2811</v>
      </c>
      <c r="F356" s="63" t="s">
        <v>2322</v>
      </c>
      <c r="G356" s="63" t="s">
        <v>28</v>
      </c>
      <c r="H356" s="63" t="s">
        <v>28</v>
      </c>
      <c r="I356" s="63" t="s">
        <v>895</v>
      </c>
    </row>
    <row r="357" ht="11.25" customHeight="1">
      <c r="A357" s="63" t="s">
        <v>2257</v>
      </c>
      <c r="B357" s="63" t="s">
        <v>16</v>
      </c>
      <c r="C357" s="63" t="s">
        <v>2826</v>
      </c>
      <c r="D357" s="63" t="s">
        <v>2827</v>
      </c>
      <c r="E357" s="63" t="s">
        <v>2828</v>
      </c>
      <c r="F357" s="63" t="s">
        <v>2395</v>
      </c>
      <c r="G357" s="63" t="s">
        <v>28</v>
      </c>
      <c r="H357" s="63" t="s">
        <v>28</v>
      </c>
      <c r="I357" s="63" t="s">
        <v>895</v>
      </c>
    </row>
    <row r="358" ht="11.25" customHeight="1">
      <c r="A358" s="63" t="s">
        <v>2257</v>
      </c>
      <c r="B358" s="63" t="s">
        <v>16</v>
      </c>
      <c r="C358" s="63" t="s">
        <v>2839</v>
      </c>
      <c r="D358" s="63" t="s">
        <v>2840</v>
      </c>
      <c r="E358" s="63" t="s">
        <v>2841</v>
      </c>
      <c r="F358" s="63" t="s">
        <v>2315</v>
      </c>
      <c r="G358" s="63" t="s">
        <v>28</v>
      </c>
      <c r="H358" s="63" t="s">
        <v>28</v>
      </c>
      <c r="I358" s="63" t="s">
        <v>895</v>
      </c>
    </row>
    <row r="359" ht="11.25" customHeight="1">
      <c r="A359" s="63" t="s">
        <v>2257</v>
      </c>
      <c r="B359" s="63" t="s">
        <v>16</v>
      </c>
      <c r="C359" s="63" t="s">
        <v>3399</v>
      </c>
      <c r="D359" s="63" t="s">
        <v>3400</v>
      </c>
      <c r="E359" s="63" t="s">
        <v>3401</v>
      </c>
      <c r="F359" s="63" t="s">
        <v>2743</v>
      </c>
      <c r="G359" s="63" t="s">
        <v>28</v>
      </c>
      <c r="H359" s="63" t="s">
        <v>28</v>
      </c>
      <c r="I359" s="63" t="s">
        <v>895</v>
      </c>
    </row>
    <row r="360" ht="11.25" customHeight="1">
      <c r="A360" s="63" t="s">
        <v>2257</v>
      </c>
      <c r="B360" s="63" t="s">
        <v>16</v>
      </c>
      <c r="C360" s="63" t="s">
        <v>2851</v>
      </c>
      <c r="D360" s="63" t="s">
        <v>2852</v>
      </c>
      <c r="E360" s="63" t="s">
        <v>2853</v>
      </c>
      <c r="F360" s="63" t="s">
        <v>2854</v>
      </c>
      <c r="G360" s="63" t="s">
        <v>28</v>
      </c>
      <c r="H360" s="63" t="s">
        <v>28</v>
      </c>
      <c r="I360" s="63" t="s">
        <v>895</v>
      </c>
    </row>
    <row r="361" ht="11.25" customHeight="1">
      <c r="A361" s="63" t="s">
        <v>2257</v>
      </c>
      <c r="B361" s="63" t="s">
        <v>16</v>
      </c>
      <c r="C361" s="63" t="s">
        <v>2869</v>
      </c>
      <c r="D361" s="63" t="s">
        <v>2870</v>
      </c>
      <c r="E361" s="63" t="s">
        <v>2871</v>
      </c>
      <c r="F361" s="63" t="s">
        <v>2485</v>
      </c>
      <c r="G361" s="63" t="s">
        <v>2872</v>
      </c>
      <c r="H361" s="63" t="s">
        <v>28</v>
      </c>
      <c r="I361" s="63" t="s">
        <v>895</v>
      </c>
    </row>
    <row r="362" ht="11.25" customHeight="1">
      <c r="A362" s="63" t="s">
        <v>2257</v>
      </c>
      <c r="B362" s="63" t="s">
        <v>16</v>
      </c>
      <c r="C362" s="63" t="s">
        <v>2881</v>
      </c>
      <c r="D362" s="63" t="s">
        <v>2882</v>
      </c>
      <c r="E362" s="63" t="s">
        <v>2883</v>
      </c>
      <c r="F362" s="63" t="s">
        <v>2288</v>
      </c>
      <c r="G362" s="63" t="s">
        <v>28</v>
      </c>
      <c r="H362" s="63" t="s">
        <v>28</v>
      </c>
      <c r="I362" s="63" t="s">
        <v>895</v>
      </c>
    </row>
    <row r="363" ht="11.25" customHeight="1">
      <c r="A363" s="63" t="s">
        <v>2257</v>
      </c>
      <c r="B363" s="63" t="s">
        <v>16</v>
      </c>
      <c r="C363" s="63" t="s">
        <v>2895</v>
      </c>
      <c r="D363" s="63" t="s">
        <v>2896</v>
      </c>
      <c r="E363" s="63" t="s">
        <v>2897</v>
      </c>
      <c r="F363" s="63" t="s">
        <v>2407</v>
      </c>
      <c r="G363" s="63" t="s">
        <v>2898</v>
      </c>
      <c r="H363" s="63" t="s">
        <v>28</v>
      </c>
      <c r="I363" s="63" t="s">
        <v>895</v>
      </c>
    </row>
    <row r="364" ht="11.25" customHeight="1">
      <c r="A364" s="63" t="s">
        <v>2257</v>
      </c>
      <c r="B364" s="63" t="s">
        <v>16</v>
      </c>
      <c r="C364" s="63" t="s">
        <v>2919</v>
      </c>
      <c r="D364" s="63" t="s">
        <v>2920</v>
      </c>
      <c r="E364" s="63" t="s">
        <v>2921</v>
      </c>
      <c r="F364" s="63" t="s">
        <v>2518</v>
      </c>
      <c r="G364" s="63" t="s">
        <v>28</v>
      </c>
      <c r="H364" s="63" t="s">
        <v>28</v>
      </c>
      <c r="I364" s="63" t="s">
        <v>895</v>
      </c>
    </row>
    <row r="365" ht="11.25" customHeight="1">
      <c r="A365" s="63" t="s">
        <v>2257</v>
      </c>
      <c r="B365" s="63" t="s">
        <v>16</v>
      </c>
      <c r="C365" s="63" t="s">
        <v>2944</v>
      </c>
      <c r="D365" s="63" t="s">
        <v>2945</v>
      </c>
      <c r="E365" s="63" t="s">
        <v>2946</v>
      </c>
      <c r="F365" s="63" t="s">
        <v>2288</v>
      </c>
      <c r="G365" s="63" t="s">
        <v>28</v>
      </c>
      <c r="H365" s="63" t="s">
        <v>28</v>
      </c>
      <c r="I365" s="63" t="s">
        <v>895</v>
      </c>
    </row>
    <row r="366" ht="11.25" customHeight="1">
      <c r="A366" s="63" t="s">
        <v>2257</v>
      </c>
      <c r="B366" s="63" t="s">
        <v>16</v>
      </c>
      <c r="C366" s="63" t="s">
        <v>2955</v>
      </c>
      <c r="D366" s="63" t="s">
        <v>2956</v>
      </c>
      <c r="E366" s="63" t="s">
        <v>2957</v>
      </c>
      <c r="F366" s="63" t="s">
        <v>2298</v>
      </c>
      <c r="G366" s="63" t="s">
        <v>2958</v>
      </c>
      <c r="H366" s="63" t="s">
        <v>28</v>
      </c>
      <c r="I366" s="63" t="s">
        <v>895</v>
      </c>
    </row>
    <row r="367" ht="11.25" customHeight="1">
      <c r="A367" s="63" t="s">
        <v>2257</v>
      </c>
      <c r="B367" s="63" t="s">
        <v>16</v>
      </c>
      <c r="C367" s="63" t="s">
        <v>2963</v>
      </c>
      <c r="D367" s="63" t="s">
        <v>2964</v>
      </c>
      <c r="E367" s="63" t="s">
        <v>2965</v>
      </c>
      <c r="F367" s="63" t="s">
        <v>2322</v>
      </c>
      <c r="G367" s="63" t="s">
        <v>28</v>
      </c>
      <c r="H367" s="63" t="s">
        <v>28</v>
      </c>
      <c r="I367" s="63" t="s">
        <v>895</v>
      </c>
    </row>
    <row r="368" ht="11.25" customHeight="1">
      <c r="A368" s="63" t="s">
        <v>2257</v>
      </c>
      <c r="B368" s="63" t="s">
        <v>16</v>
      </c>
      <c r="C368" s="63" t="s">
        <v>2967</v>
      </c>
      <c r="D368" s="63" t="s">
        <v>2968</v>
      </c>
      <c r="E368" s="63" t="s">
        <v>2969</v>
      </c>
      <c r="F368" s="63" t="s">
        <v>2306</v>
      </c>
      <c r="G368" s="63" t="s">
        <v>2970</v>
      </c>
      <c r="H368" s="63" t="s">
        <v>28</v>
      </c>
      <c r="I368" s="63" t="s">
        <v>895</v>
      </c>
    </row>
    <row r="369" ht="11.25" customHeight="1">
      <c r="A369" s="63" t="s">
        <v>2257</v>
      </c>
      <c r="B369" s="63" t="s">
        <v>16</v>
      </c>
      <c r="C369" s="63" t="s">
        <v>2980</v>
      </c>
      <c r="D369" s="63" t="s">
        <v>2981</v>
      </c>
      <c r="E369" s="63" t="s">
        <v>2982</v>
      </c>
      <c r="F369" s="63" t="s">
        <v>2306</v>
      </c>
      <c r="G369" s="63" t="s">
        <v>2983</v>
      </c>
      <c r="H369" s="63" t="s">
        <v>28</v>
      </c>
      <c r="I369" s="63" t="s">
        <v>895</v>
      </c>
    </row>
    <row r="370" ht="11.25" customHeight="1">
      <c r="A370" s="63" t="s">
        <v>2257</v>
      </c>
      <c r="B370" s="63" t="s">
        <v>16</v>
      </c>
      <c r="C370" s="63" t="s">
        <v>2984</v>
      </c>
      <c r="D370" s="63" t="s">
        <v>2985</v>
      </c>
      <c r="E370" s="63" t="s">
        <v>2986</v>
      </c>
      <c r="F370" s="63" t="s">
        <v>2298</v>
      </c>
      <c r="G370" s="63" t="s">
        <v>28</v>
      </c>
      <c r="H370" s="63" t="s">
        <v>28</v>
      </c>
      <c r="I370" s="63" t="s">
        <v>895</v>
      </c>
    </row>
    <row r="371" ht="11.25" customHeight="1">
      <c r="A371" s="63" t="s">
        <v>2257</v>
      </c>
      <c r="B371" s="63" t="s">
        <v>16</v>
      </c>
      <c r="C371" s="63" t="s">
        <v>2996</v>
      </c>
      <c r="D371" s="63" t="s">
        <v>2997</v>
      </c>
      <c r="E371" s="63" t="s">
        <v>2998</v>
      </c>
      <c r="F371" s="63" t="s">
        <v>2275</v>
      </c>
      <c r="G371" s="63" t="s">
        <v>28</v>
      </c>
      <c r="H371" s="63" t="s">
        <v>28</v>
      </c>
      <c r="I371" s="63" t="s">
        <v>895</v>
      </c>
    </row>
    <row r="372" ht="11.25" customHeight="1">
      <c r="A372" s="63" t="s">
        <v>2257</v>
      </c>
      <c r="B372" s="63" t="s">
        <v>16</v>
      </c>
      <c r="C372" s="63" t="s">
        <v>3091</v>
      </c>
      <c r="D372" s="63" t="s">
        <v>3092</v>
      </c>
      <c r="E372" s="63" t="s">
        <v>3093</v>
      </c>
      <c r="F372" s="63" t="s">
        <v>2322</v>
      </c>
      <c r="G372" s="63" t="s">
        <v>28</v>
      </c>
      <c r="H372" s="63" t="s">
        <v>28</v>
      </c>
      <c r="I372" s="63" t="s">
        <v>895</v>
      </c>
    </row>
    <row r="373" ht="11.25" customHeight="1">
      <c r="A373" s="63" t="s">
        <v>2257</v>
      </c>
      <c r="B373" s="63" t="s">
        <v>16</v>
      </c>
      <c r="C373" s="63" t="s">
        <v>3104</v>
      </c>
      <c r="D373" s="63" t="s">
        <v>3105</v>
      </c>
      <c r="E373" s="63" t="s">
        <v>3106</v>
      </c>
      <c r="F373" s="63" t="s">
        <v>2591</v>
      </c>
      <c r="G373" s="63" t="s">
        <v>3107</v>
      </c>
      <c r="H373" s="63" t="s">
        <v>28</v>
      </c>
      <c r="I373" s="63" t="s">
        <v>895</v>
      </c>
    </row>
    <row r="374" ht="11.25" customHeight="1">
      <c r="A374" s="63" t="s">
        <v>2257</v>
      </c>
      <c r="B374" s="63" t="s">
        <v>16</v>
      </c>
      <c r="C374" s="63" t="s">
        <v>3123</v>
      </c>
      <c r="D374" s="63" t="s">
        <v>3124</v>
      </c>
      <c r="E374" s="63" t="s">
        <v>3125</v>
      </c>
      <c r="F374" s="63" t="s">
        <v>2559</v>
      </c>
      <c r="G374" s="63" t="s">
        <v>28</v>
      </c>
      <c r="H374" s="63" t="s">
        <v>28</v>
      </c>
      <c r="I374" s="63" t="s">
        <v>895</v>
      </c>
    </row>
    <row r="375" ht="11.25" customHeight="1">
      <c r="A375" s="63" t="s">
        <v>2257</v>
      </c>
      <c r="B375" s="63" t="s">
        <v>16</v>
      </c>
      <c r="C375" s="63" t="s">
        <v>3126</v>
      </c>
      <c r="D375" s="63" t="s">
        <v>3127</v>
      </c>
      <c r="E375" s="63" t="s">
        <v>3128</v>
      </c>
      <c r="F375" s="63" t="s">
        <v>2395</v>
      </c>
      <c r="G375" s="63" t="s">
        <v>3129</v>
      </c>
      <c r="H375" s="63" t="s">
        <v>28</v>
      </c>
      <c r="I375" s="63" t="s">
        <v>895</v>
      </c>
    </row>
    <row r="376" ht="11.25" customHeight="1">
      <c r="A376" s="63" t="s">
        <v>2257</v>
      </c>
      <c r="B376" s="63" t="s">
        <v>16</v>
      </c>
      <c r="C376" s="63" t="s">
        <v>3141</v>
      </c>
      <c r="D376" s="63" t="s">
        <v>3142</v>
      </c>
      <c r="E376" s="63" t="s">
        <v>3143</v>
      </c>
      <c r="F376" s="63" t="s">
        <v>2315</v>
      </c>
      <c r="G376" s="63" t="s">
        <v>28</v>
      </c>
      <c r="H376" s="63" t="s">
        <v>28</v>
      </c>
      <c r="I376" s="63" t="s">
        <v>895</v>
      </c>
    </row>
    <row r="377" ht="11.25" customHeight="1">
      <c r="A377" s="63" t="s">
        <v>2257</v>
      </c>
      <c r="B377" s="63" t="s">
        <v>16</v>
      </c>
      <c r="C377" s="63" t="s">
        <v>3148</v>
      </c>
      <c r="D377" s="63" t="s">
        <v>3149</v>
      </c>
      <c r="E377" s="63" t="s">
        <v>3150</v>
      </c>
      <c r="F377" s="63" t="s">
        <v>2743</v>
      </c>
      <c r="G377" s="63" t="s">
        <v>3151</v>
      </c>
      <c r="H377" s="63" t="s">
        <v>28</v>
      </c>
      <c r="I377" s="63" t="s">
        <v>895</v>
      </c>
    </row>
    <row r="378" ht="11.25" customHeight="1">
      <c r="A378" s="63" t="s">
        <v>2257</v>
      </c>
      <c r="B378" s="63" t="s">
        <v>16</v>
      </c>
      <c r="C378" s="63" t="s">
        <v>3166</v>
      </c>
      <c r="D378" s="63" t="s">
        <v>3167</v>
      </c>
      <c r="E378" s="63" t="s">
        <v>3168</v>
      </c>
      <c r="F378" s="63" t="s">
        <v>2288</v>
      </c>
      <c r="G378" s="63" t="s">
        <v>3169</v>
      </c>
      <c r="H378" s="63" t="s">
        <v>28</v>
      </c>
      <c r="I378" s="63" t="s">
        <v>895</v>
      </c>
    </row>
    <row r="379" ht="11.25" customHeight="1">
      <c r="A379" s="63" t="s">
        <v>2257</v>
      </c>
      <c r="B379" s="63" t="s">
        <v>16</v>
      </c>
      <c r="C379" s="63" t="s">
        <v>3204</v>
      </c>
      <c r="D379" s="63" t="s">
        <v>3205</v>
      </c>
      <c r="E379" s="63" t="s">
        <v>3206</v>
      </c>
      <c r="F379" s="63" t="s">
        <v>2306</v>
      </c>
      <c r="G379" s="63" t="s">
        <v>28</v>
      </c>
      <c r="H379" s="63" t="s">
        <v>28</v>
      </c>
      <c r="I379" s="63" t="s">
        <v>895</v>
      </c>
    </row>
    <row r="380" ht="11.25" customHeight="1">
      <c r="A380" s="63" t="s">
        <v>2257</v>
      </c>
      <c r="B380" s="63" t="s">
        <v>16</v>
      </c>
      <c r="C380" s="63" t="s">
        <v>3210</v>
      </c>
      <c r="D380" s="63" t="s">
        <v>3211</v>
      </c>
      <c r="E380" s="63" t="s">
        <v>3212</v>
      </c>
      <c r="F380" s="63" t="s">
        <v>2298</v>
      </c>
      <c r="G380" s="63" t="s">
        <v>3213</v>
      </c>
      <c r="H380" s="63" t="s">
        <v>28</v>
      </c>
      <c r="I380" s="63" t="s">
        <v>895</v>
      </c>
    </row>
    <row r="381" ht="11.25" customHeight="1">
      <c r="A381" s="63" t="s">
        <v>2257</v>
      </c>
      <c r="B381" s="63" t="s">
        <v>16</v>
      </c>
      <c r="C381" s="63" t="s">
        <v>3222</v>
      </c>
      <c r="D381" s="63" t="s">
        <v>3223</v>
      </c>
      <c r="E381" s="63" t="s">
        <v>2431</v>
      </c>
      <c r="F381" s="63" t="s">
        <v>3224</v>
      </c>
      <c r="G381" s="63" t="s">
        <v>3225</v>
      </c>
      <c r="H381" s="63" t="s">
        <v>28</v>
      </c>
      <c r="I381" s="63" t="s">
        <v>895</v>
      </c>
    </row>
    <row r="382" ht="11.25" customHeight="1">
      <c r="A382" s="63" t="s">
        <v>2257</v>
      </c>
      <c r="B382" s="63" t="s">
        <v>16</v>
      </c>
      <c r="C382" s="63" t="s">
        <v>3226</v>
      </c>
      <c r="D382" s="63" t="s">
        <v>3227</v>
      </c>
      <c r="E382" s="63" t="s">
        <v>3228</v>
      </c>
      <c r="F382" s="63" t="s">
        <v>2298</v>
      </c>
      <c r="G382" s="63" t="s">
        <v>3229</v>
      </c>
      <c r="H382" s="63" t="s">
        <v>28</v>
      </c>
      <c r="I382" s="63" t="s">
        <v>895</v>
      </c>
    </row>
    <row r="383" ht="11.25" customHeight="1">
      <c r="A383" s="63" t="s">
        <v>2257</v>
      </c>
      <c r="B383" s="63" t="s">
        <v>16</v>
      </c>
      <c r="C383" s="63" t="s">
        <v>3230</v>
      </c>
      <c r="D383" s="63" t="s">
        <v>3231</v>
      </c>
      <c r="E383" s="63" t="s">
        <v>3232</v>
      </c>
      <c r="F383" s="63" t="s">
        <v>2403</v>
      </c>
      <c r="G383" s="63" t="s">
        <v>28</v>
      </c>
      <c r="H383" s="63" t="s">
        <v>28</v>
      </c>
      <c r="I383" s="63" t="s">
        <v>895</v>
      </c>
    </row>
    <row r="384" ht="11.25" customHeight="1">
      <c r="A384" s="63" t="s">
        <v>2257</v>
      </c>
      <c r="B384" s="63" t="s">
        <v>16</v>
      </c>
      <c r="C384" s="63" t="s">
        <v>3247</v>
      </c>
      <c r="D384" s="63" t="s">
        <v>3248</v>
      </c>
      <c r="E384" s="63" t="s">
        <v>3249</v>
      </c>
      <c r="F384" s="63" t="s">
        <v>2330</v>
      </c>
      <c r="G384" s="63" t="s">
        <v>28</v>
      </c>
      <c r="H384" s="63" t="s">
        <v>28</v>
      </c>
      <c r="I384" s="63" t="s">
        <v>895</v>
      </c>
    </row>
    <row r="385" ht="11.25" customHeight="1">
      <c r="A385" s="63" t="s">
        <v>2257</v>
      </c>
      <c r="B385" s="63" t="s">
        <v>16</v>
      </c>
      <c r="C385" s="63" t="s">
        <v>3250</v>
      </c>
      <c r="D385" s="63" t="s">
        <v>3251</v>
      </c>
      <c r="E385" s="63" t="s">
        <v>3252</v>
      </c>
      <c r="F385" s="63" t="s">
        <v>2322</v>
      </c>
      <c r="G385" s="63" t="s">
        <v>28</v>
      </c>
      <c r="H385" s="63" t="s">
        <v>28</v>
      </c>
      <c r="I385" s="63" t="s">
        <v>895</v>
      </c>
    </row>
    <row r="386" ht="11.25" customHeight="1">
      <c r="A386" s="63" t="s">
        <v>2257</v>
      </c>
      <c r="B386" s="63" t="s">
        <v>16</v>
      </c>
      <c r="C386" s="63" t="s">
        <v>3264</v>
      </c>
      <c r="D386" s="63" t="s">
        <v>3265</v>
      </c>
      <c r="E386" s="63" t="s">
        <v>3266</v>
      </c>
      <c r="F386" s="63" t="s">
        <v>3267</v>
      </c>
      <c r="G386" s="63" t="s">
        <v>3268</v>
      </c>
      <c r="H386" s="63" t="s">
        <v>28</v>
      </c>
      <c r="I386" s="63" t="s">
        <v>895</v>
      </c>
    </row>
    <row r="387" ht="11.25" customHeight="1">
      <c r="A387" s="63" t="s">
        <v>2257</v>
      </c>
      <c r="B387" s="63" t="s">
        <v>16</v>
      </c>
      <c r="C387" s="63" t="s">
        <v>3278</v>
      </c>
      <c r="D387" s="63" t="s">
        <v>3279</v>
      </c>
      <c r="E387" s="63" t="s">
        <v>3280</v>
      </c>
      <c r="F387" s="63" t="s">
        <v>3281</v>
      </c>
      <c r="G387" s="63" t="s">
        <v>3282</v>
      </c>
      <c r="H387" s="63" t="s">
        <v>28</v>
      </c>
      <c r="I387" s="63" t="s">
        <v>895</v>
      </c>
    </row>
    <row r="388" ht="11.25" customHeight="1">
      <c r="A388" s="63" t="s">
        <v>2257</v>
      </c>
      <c r="B388" s="63" t="s">
        <v>16</v>
      </c>
      <c r="C388" s="63" t="s">
        <v>3287</v>
      </c>
      <c r="D388" s="63" t="s">
        <v>3288</v>
      </c>
      <c r="E388" s="63" t="s">
        <v>3289</v>
      </c>
      <c r="F388" s="63" t="s">
        <v>2322</v>
      </c>
      <c r="G388" s="63" t="s">
        <v>28</v>
      </c>
      <c r="H388" s="63" t="s">
        <v>28</v>
      </c>
      <c r="I388" s="63" t="s">
        <v>895</v>
      </c>
    </row>
    <row r="389" ht="11.25" customHeight="1">
      <c r="A389" s="63" t="s">
        <v>2257</v>
      </c>
      <c r="B389" s="63" t="s">
        <v>16</v>
      </c>
      <c r="C389" s="63" t="s">
        <v>3290</v>
      </c>
      <c r="D389" s="63" t="s">
        <v>3291</v>
      </c>
      <c r="E389" s="63" t="s">
        <v>3292</v>
      </c>
      <c r="F389" s="63" t="s">
        <v>2395</v>
      </c>
      <c r="G389" s="63" t="s">
        <v>28</v>
      </c>
      <c r="H389" s="63" t="s">
        <v>28</v>
      </c>
      <c r="I389" s="63" t="s">
        <v>895</v>
      </c>
    </row>
    <row r="390" ht="11.25" customHeight="1">
      <c r="A390" s="63" t="s">
        <v>2257</v>
      </c>
      <c r="B390" s="63" t="s">
        <v>16</v>
      </c>
      <c r="C390" s="63" t="s">
        <v>3297</v>
      </c>
      <c r="D390" s="63" t="s">
        <v>3298</v>
      </c>
      <c r="E390" s="63" t="s">
        <v>3299</v>
      </c>
      <c r="F390" s="63" t="s">
        <v>2364</v>
      </c>
      <c r="G390" s="63" t="s">
        <v>28</v>
      </c>
      <c r="H390" s="63" t="s">
        <v>28</v>
      </c>
      <c r="I390" s="63" t="s">
        <v>895</v>
      </c>
    </row>
    <row r="391" ht="11.25" customHeight="1">
      <c r="A391" s="63" t="s">
        <v>2257</v>
      </c>
      <c r="B391" s="63" t="s">
        <v>16</v>
      </c>
      <c r="C391" s="63" t="s">
        <v>3304</v>
      </c>
      <c r="D391" s="63" t="s">
        <v>3305</v>
      </c>
      <c r="E391" s="63" t="s">
        <v>3306</v>
      </c>
      <c r="F391" s="63" t="s">
        <v>2275</v>
      </c>
      <c r="G391" s="63" t="s">
        <v>3307</v>
      </c>
      <c r="H391" s="63" t="s">
        <v>28</v>
      </c>
      <c r="I391" s="63" t="s">
        <v>895</v>
      </c>
    </row>
    <row r="392" ht="11.25" customHeight="1">
      <c r="A392" s="63" t="s">
        <v>2257</v>
      </c>
      <c r="B392" s="63" t="s">
        <v>16</v>
      </c>
      <c r="C392" s="63" t="s">
        <v>3318</v>
      </c>
      <c r="D392" s="63" t="s">
        <v>3319</v>
      </c>
      <c r="E392" s="63" t="s">
        <v>3320</v>
      </c>
      <c r="F392" s="63" t="s">
        <v>2298</v>
      </c>
      <c r="G392" s="63" t="s">
        <v>28</v>
      </c>
      <c r="H392" s="63" t="s">
        <v>28</v>
      </c>
      <c r="I392" s="63" t="s">
        <v>895</v>
      </c>
    </row>
    <row r="393" ht="11.25" customHeight="1">
      <c r="A393" s="63" t="s">
        <v>2257</v>
      </c>
      <c r="B393" s="63" t="s">
        <v>16</v>
      </c>
      <c r="C393" s="63" t="s">
        <v>3335</v>
      </c>
      <c r="D393" s="63" t="s">
        <v>3336</v>
      </c>
      <c r="E393" s="63" t="s">
        <v>3337</v>
      </c>
      <c r="F393" s="63" t="s">
        <v>2298</v>
      </c>
      <c r="G393" s="63" t="s">
        <v>28</v>
      </c>
      <c r="H393" s="63" t="s">
        <v>28</v>
      </c>
      <c r="I393" s="63" t="s">
        <v>895</v>
      </c>
    </row>
    <row r="394" ht="11.25" customHeight="1">
      <c r="A394" s="63" t="s">
        <v>2257</v>
      </c>
      <c r="B394" s="63" t="s">
        <v>16</v>
      </c>
      <c r="C394" s="63" t="s">
        <v>3359</v>
      </c>
      <c r="D394" s="63" t="s">
        <v>3360</v>
      </c>
      <c r="E394" s="63" t="s">
        <v>3361</v>
      </c>
      <c r="F394" s="63" t="s">
        <v>2315</v>
      </c>
      <c r="G394" s="63" t="s">
        <v>3362</v>
      </c>
      <c r="H394" s="63" t="s">
        <v>28</v>
      </c>
      <c r="I394" s="63" t="s">
        <v>895</v>
      </c>
    </row>
    <row r="395" ht="11.25" customHeight="1">
      <c r="A395" s="63" t="s">
        <v>2257</v>
      </c>
      <c r="B395" s="63" t="s">
        <v>16</v>
      </c>
      <c r="C395" s="63" t="s">
        <v>3363</v>
      </c>
      <c r="D395" s="63" t="s">
        <v>3364</v>
      </c>
      <c r="E395" s="63" t="s">
        <v>3365</v>
      </c>
      <c r="F395" s="63" t="s">
        <v>2364</v>
      </c>
      <c r="G395" s="63" t="s">
        <v>28</v>
      </c>
      <c r="H395" s="63" t="s">
        <v>28</v>
      </c>
      <c r="I395" s="63" t="s">
        <v>895</v>
      </c>
    </row>
    <row r="396" ht="11.25" customHeight="1">
      <c r="A396" s="63" t="s">
        <v>2257</v>
      </c>
      <c r="B396" s="63" t="s">
        <v>16</v>
      </c>
      <c r="C396" s="63" t="s">
        <v>3380</v>
      </c>
      <c r="D396" s="63" t="s">
        <v>3381</v>
      </c>
      <c r="E396" s="63" t="s">
        <v>3382</v>
      </c>
      <c r="F396" s="63" t="s">
        <v>3383</v>
      </c>
      <c r="G396" s="63" t="s">
        <v>3384</v>
      </c>
      <c r="H396" s="63" t="s">
        <v>28</v>
      </c>
      <c r="I396" s="63" t="s">
        <v>895</v>
      </c>
    </row>
    <row r="397" ht="11.25" customHeight="1">
      <c r="A397" s="63" t="s">
        <v>2257</v>
      </c>
      <c r="B397" s="63" t="s">
        <v>16</v>
      </c>
      <c r="C397" s="63" t="s">
        <v>3402</v>
      </c>
      <c r="D397" s="63" t="s">
        <v>3403</v>
      </c>
      <c r="E397" s="63" t="s">
        <v>3404</v>
      </c>
      <c r="F397" s="63" t="s">
        <v>2485</v>
      </c>
      <c r="G397" s="63" t="s">
        <v>28</v>
      </c>
      <c r="H397" s="63" t="s">
        <v>28</v>
      </c>
      <c r="I397" s="63" t="s">
        <v>855</v>
      </c>
    </row>
    <row r="398" ht="11.25" customHeight="1">
      <c r="A398" s="63" t="s">
        <v>2257</v>
      </c>
      <c r="B398" s="63" t="s">
        <v>16</v>
      </c>
      <c r="C398" s="63" t="s">
        <v>3405</v>
      </c>
      <c r="D398" s="63" t="s">
        <v>3406</v>
      </c>
      <c r="E398" s="63" t="s">
        <v>3407</v>
      </c>
      <c r="F398" s="63" t="s">
        <v>2298</v>
      </c>
      <c r="G398" s="63" t="s">
        <v>28</v>
      </c>
      <c r="H398" s="63" t="s">
        <v>28</v>
      </c>
      <c r="I398" s="63" t="s">
        <v>855</v>
      </c>
    </row>
    <row r="399" ht="11.25" customHeight="1">
      <c r="A399" s="63" t="s">
        <v>2257</v>
      </c>
      <c r="B399" s="63" t="s">
        <v>16</v>
      </c>
      <c r="C399" s="63" t="s">
        <v>2258</v>
      </c>
      <c r="D399" s="63" t="s">
        <v>2259</v>
      </c>
      <c r="E399" s="63" t="s">
        <v>2260</v>
      </c>
      <c r="F399" s="63" t="s">
        <v>2261</v>
      </c>
      <c r="G399" s="63" t="s">
        <v>28</v>
      </c>
      <c r="H399" s="63" t="s">
        <v>28</v>
      </c>
      <c r="I399" s="63" t="s">
        <v>855</v>
      </c>
    </row>
    <row r="400" ht="11.25" customHeight="1">
      <c r="A400" s="63" t="s">
        <v>2257</v>
      </c>
      <c r="B400" s="63" t="s">
        <v>16</v>
      </c>
      <c r="C400" s="63" t="s">
        <v>2267</v>
      </c>
      <c r="D400" s="63" t="s">
        <v>2268</v>
      </c>
      <c r="E400" s="63" t="s">
        <v>2269</v>
      </c>
      <c r="F400" s="63" t="s">
        <v>2270</v>
      </c>
      <c r="G400" s="63" t="s">
        <v>2271</v>
      </c>
      <c r="H400" s="63" t="s">
        <v>28</v>
      </c>
      <c r="I400" s="63" t="s">
        <v>855</v>
      </c>
    </row>
    <row r="401" ht="11.25" customHeight="1">
      <c r="A401" s="63" t="s">
        <v>2257</v>
      </c>
      <c r="B401" s="63" t="s">
        <v>16</v>
      </c>
      <c r="C401" s="63" t="s">
        <v>2276</v>
      </c>
      <c r="D401" s="63" t="s">
        <v>2277</v>
      </c>
      <c r="E401" s="63" t="s">
        <v>2278</v>
      </c>
      <c r="F401" s="63" t="s">
        <v>2279</v>
      </c>
      <c r="G401" s="63" t="s">
        <v>2280</v>
      </c>
      <c r="H401" s="63" t="s">
        <v>28</v>
      </c>
      <c r="I401" s="63" t="s">
        <v>855</v>
      </c>
    </row>
    <row r="402" ht="11.25" customHeight="1">
      <c r="A402" s="63" t="s">
        <v>2257</v>
      </c>
      <c r="B402" s="63" t="s">
        <v>16</v>
      </c>
      <c r="C402" s="63" t="s">
        <v>2281</v>
      </c>
      <c r="D402" s="63" t="s">
        <v>2282</v>
      </c>
      <c r="E402" s="63" t="s">
        <v>2283</v>
      </c>
      <c r="F402" s="63" t="s">
        <v>2284</v>
      </c>
      <c r="G402" s="63" t="s">
        <v>28</v>
      </c>
      <c r="H402" s="63" t="s">
        <v>28</v>
      </c>
      <c r="I402" s="63" t="s">
        <v>855</v>
      </c>
    </row>
    <row r="403" ht="11.25" customHeight="1">
      <c r="A403" s="63" t="s">
        <v>2257</v>
      </c>
      <c r="B403" s="63" t="s">
        <v>16</v>
      </c>
      <c r="C403" s="63" t="s">
        <v>3408</v>
      </c>
      <c r="D403" s="63" t="s">
        <v>3409</v>
      </c>
      <c r="E403" s="63" t="s">
        <v>3410</v>
      </c>
      <c r="F403" s="63" t="s">
        <v>2518</v>
      </c>
      <c r="G403" s="63" t="s">
        <v>28</v>
      </c>
      <c r="H403" s="63" t="s">
        <v>28</v>
      </c>
      <c r="I403" s="63" t="s">
        <v>855</v>
      </c>
    </row>
    <row r="404" ht="11.25" customHeight="1">
      <c r="A404" s="63" t="s">
        <v>2257</v>
      </c>
      <c r="B404" s="63" t="s">
        <v>16</v>
      </c>
      <c r="C404" s="63" t="s">
        <v>3411</v>
      </c>
      <c r="D404" s="63" t="s">
        <v>3412</v>
      </c>
      <c r="E404" s="63" t="s">
        <v>3413</v>
      </c>
      <c r="F404" s="63" t="s">
        <v>2288</v>
      </c>
      <c r="G404" s="63" t="s">
        <v>28</v>
      </c>
      <c r="H404" s="63" t="s">
        <v>28</v>
      </c>
      <c r="I404" s="63" t="s">
        <v>855</v>
      </c>
    </row>
    <row r="405" ht="11.25" customHeight="1">
      <c r="A405" s="63" t="s">
        <v>2257</v>
      </c>
      <c r="B405" s="63" t="s">
        <v>16</v>
      </c>
      <c r="C405" s="63" t="s">
        <v>3414</v>
      </c>
      <c r="D405" s="63" t="s">
        <v>3415</v>
      </c>
      <c r="E405" s="63" t="s">
        <v>3416</v>
      </c>
      <c r="F405" s="63" t="s">
        <v>2364</v>
      </c>
      <c r="G405" s="63" t="s">
        <v>28</v>
      </c>
      <c r="H405" s="63" t="s">
        <v>28</v>
      </c>
      <c r="I405" s="63" t="s">
        <v>855</v>
      </c>
    </row>
    <row r="406" ht="11.25" customHeight="1">
      <c r="A406" s="63" t="s">
        <v>2257</v>
      </c>
      <c r="B406" s="63" t="s">
        <v>16</v>
      </c>
      <c r="C406" s="63" t="s">
        <v>2295</v>
      </c>
      <c r="D406" s="63" t="s">
        <v>2296</v>
      </c>
      <c r="E406" s="63" t="s">
        <v>2297</v>
      </c>
      <c r="F406" s="63" t="s">
        <v>2298</v>
      </c>
      <c r="G406" s="63" t="s">
        <v>28</v>
      </c>
      <c r="H406" s="63" t="s">
        <v>28</v>
      </c>
      <c r="I406" s="63" t="s">
        <v>855</v>
      </c>
    </row>
    <row r="407" ht="11.25" customHeight="1">
      <c r="A407" s="63" t="s">
        <v>2257</v>
      </c>
      <c r="B407" s="63" t="s">
        <v>16</v>
      </c>
      <c r="C407" s="63" t="s">
        <v>2299</v>
      </c>
      <c r="D407" s="63" t="s">
        <v>2300</v>
      </c>
      <c r="E407" s="63" t="s">
        <v>2301</v>
      </c>
      <c r="F407" s="63" t="s">
        <v>2302</v>
      </c>
      <c r="G407" s="63" t="s">
        <v>28</v>
      </c>
      <c r="H407" s="63" t="s">
        <v>28</v>
      </c>
      <c r="I407" s="63" t="s">
        <v>855</v>
      </c>
    </row>
    <row r="408" ht="11.25" customHeight="1">
      <c r="A408" s="63" t="s">
        <v>2257</v>
      </c>
      <c r="B408" s="63" t="s">
        <v>16</v>
      </c>
      <c r="C408" s="63" t="s">
        <v>2303</v>
      </c>
      <c r="D408" s="63" t="s">
        <v>2304</v>
      </c>
      <c r="E408" s="63" t="s">
        <v>2305</v>
      </c>
      <c r="F408" s="63" t="s">
        <v>2306</v>
      </c>
      <c r="G408" s="63" t="s">
        <v>2307</v>
      </c>
      <c r="H408" s="63" t="s">
        <v>28</v>
      </c>
      <c r="I408" s="63" t="s">
        <v>855</v>
      </c>
    </row>
    <row r="409" ht="11.25" customHeight="1">
      <c r="A409" s="63" t="s">
        <v>2257</v>
      </c>
      <c r="B409" s="63" t="s">
        <v>16</v>
      </c>
      <c r="C409" s="63" t="s">
        <v>2308</v>
      </c>
      <c r="D409" s="63" t="s">
        <v>2309</v>
      </c>
      <c r="E409" s="63" t="s">
        <v>2310</v>
      </c>
      <c r="F409" s="63" t="s">
        <v>2265</v>
      </c>
      <c r="G409" s="63" t="s">
        <v>2311</v>
      </c>
      <c r="H409" s="63" t="s">
        <v>28</v>
      </c>
      <c r="I409" s="63" t="s">
        <v>855</v>
      </c>
    </row>
    <row r="410" ht="11.25" customHeight="1">
      <c r="A410" s="63" t="s">
        <v>2257</v>
      </c>
      <c r="B410" s="63" t="s">
        <v>16</v>
      </c>
      <c r="C410" s="63" t="s">
        <v>2316</v>
      </c>
      <c r="D410" s="63" t="s">
        <v>2317</v>
      </c>
      <c r="E410" s="63" t="s">
        <v>2318</v>
      </c>
      <c r="F410" s="63" t="s">
        <v>2315</v>
      </c>
      <c r="G410" s="63" t="s">
        <v>28</v>
      </c>
      <c r="H410" s="63" t="s">
        <v>28</v>
      </c>
      <c r="I410" s="63" t="s">
        <v>855</v>
      </c>
    </row>
    <row r="411" ht="11.25" customHeight="1">
      <c r="A411" s="63" t="s">
        <v>2257</v>
      </c>
      <c r="B411" s="63" t="s">
        <v>16</v>
      </c>
      <c r="C411" s="63" t="s">
        <v>2319</v>
      </c>
      <c r="D411" s="63" t="s">
        <v>2320</v>
      </c>
      <c r="E411" s="63" t="s">
        <v>2321</v>
      </c>
      <c r="F411" s="63" t="s">
        <v>2322</v>
      </c>
      <c r="G411" s="63" t="s">
        <v>28</v>
      </c>
      <c r="H411" s="63" t="s">
        <v>28</v>
      </c>
      <c r="I411" s="63" t="s">
        <v>855</v>
      </c>
    </row>
    <row r="412" ht="11.25" customHeight="1">
      <c r="A412" s="63" t="s">
        <v>2257</v>
      </c>
      <c r="B412" s="63" t="s">
        <v>16</v>
      </c>
      <c r="C412" s="63" t="s">
        <v>2327</v>
      </c>
      <c r="D412" s="63" t="s">
        <v>2328</v>
      </c>
      <c r="E412" s="63" t="s">
        <v>2329</v>
      </c>
      <c r="F412" s="63" t="s">
        <v>2330</v>
      </c>
      <c r="G412" s="63" t="s">
        <v>2331</v>
      </c>
      <c r="H412" s="63" t="s">
        <v>28</v>
      </c>
      <c r="I412" s="63" t="s">
        <v>855</v>
      </c>
    </row>
    <row r="413" ht="11.25" customHeight="1">
      <c r="A413" s="63" t="s">
        <v>2257</v>
      </c>
      <c r="B413" s="63" t="s">
        <v>16</v>
      </c>
      <c r="C413" s="63" t="s">
        <v>2332</v>
      </c>
      <c r="D413" s="63" t="s">
        <v>2333</v>
      </c>
      <c r="E413" s="63" t="s">
        <v>2334</v>
      </c>
      <c r="F413" s="63" t="s">
        <v>2330</v>
      </c>
      <c r="G413" s="63" t="s">
        <v>2335</v>
      </c>
      <c r="H413" s="63" t="s">
        <v>28</v>
      </c>
      <c r="I413" s="63" t="s">
        <v>855</v>
      </c>
    </row>
    <row r="414" ht="11.25" customHeight="1">
      <c r="A414" s="63" t="s">
        <v>2257</v>
      </c>
      <c r="B414" s="63" t="s">
        <v>16</v>
      </c>
      <c r="C414" s="63" t="s">
        <v>3417</v>
      </c>
      <c r="D414" s="63" t="s">
        <v>3418</v>
      </c>
      <c r="E414" s="63" t="s">
        <v>3419</v>
      </c>
      <c r="F414" s="63" t="s">
        <v>2407</v>
      </c>
      <c r="G414" s="63" t="s">
        <v>3420</v>
      </c>
      <c r="H414" s="63" t="s">
        <v>28</v>
      </c>
      <c r="I414" s="63" t="s">
        <v>855</v>
      </c>
    </row>
    <row r="415" ht="11.25" customHeight="1">
      <c r="A415" s="63" t="s">
        <v>2257</v>
      </c>
      <c r="B415" s="63" t="s">
        <v>16</v>
      </c>
      <c r="C415" s="63" t="s">
        <v>2341</v>
      </c>
      <c r="D415" s="63" t="s">
        <v>2342</v>
      </c>
      <c r="E415" s="63" t="s">
        <v>2343</v>
      </c>
      <c r="F415" s="63" t="s">
        <v>2306</v>
      </c>
      <c r="G415" s="63" t="s">
        <v>28</v>
      </c>
      <c r="H415" s="63" t="s">
        <v>28</v>
      </c>
      <c r="I415" s="63" t="s">
        <v>855</v>
      </c>
    </row>
    <row r="416" ht="11.25" customHeight="1">
      <c r="A416" s="63" t="s">
        <v>2257</v>
      </c>
      <c r="B416" s="63" t="s">
        <v>16</v>
      </c>
      <c r="C416" s="63" t="s">
        <v>2344</v>
      </c>
      <c r="D416" s="63" t="s">
        <v>2345</v>
      </c>
      <c r="E416" s="63" t="s">
        <v>2346</v>
      </c>
      <c r="F416" s="63" t="s">
        <v>2279</v>
      </c>
      <c r="G416" s="63" t="s">
        <v>2347</v>
      </c>
      <c r="H416" s="63" t="s">
        <v>28</v>
      </c>
      <c r="I416" s="63" t="s">
        <v>855</v>
      </c>
    </row>
    <row r="417" ht="11.25" customHeight="1">
      <c r="A417" s="63" t="s">
        <v>2257</v>
      </c>
      <c r="B417" s="63" t="s">
        <v>16</v>
      </c>
      <c r="C417" s="63" t="s">
        <v>2351</v>
      </c>
      <c r="D417" s="63" t="s">
        <v>2352</v>
      </c>
      <c r="E417" s="63" t="s">
        <v>2353</v>
      </c>
      <c r="F417" s="63" t="s">
        <v>2354</v>
      </c>
      <c r="G417" s="63" t="s">
        <v>2355</v>
      </c>
      <c r="H417" s="63" t="s">
        <v>28</v>
      </c>
      <c r="I417" s="63" t="s">
        <v>855</v>
      </c>
    </row>
    <row r="418" ht="11.25" customHeight="1">
      <c r="A418" s="63" t="s">
        <v>2257</v>
      </c>
      <c r="B418" s="63" t="s">
        <v>16</v>
      </c>
      <c r="C418" s="63" t="s">
        <v>3421</v>
      </c>
      <c r="D418" s="63" t="s">
        <v>3422</v>
      </c>
      <c r="E418" s="63" t="s">
        <v>3423</v>
      </c>
      <c r="F418" s="63" t="s">
        <v>2391</v>
      </c>
      <c r="G418" s="63" t="s">
        <v>3424</v>
      </c>
      <c r="H418" s="63" t="s">
        <v>28</v>
      </c>
      <c r="I418" s="63" t="s">
        <v>855</v>
      </c>
    </row>
    <row r="419" ht="11.25" customHeight="1">
      <c r="A419" s="63" t="s">
        <v>2257</v>
      </c>
      <c r="B419" s="63" t="s">
        <v>16</v>
      </c>
      <c r="C419" s="63" t="s">
        <v>2366</v>
      </c>
      <c r="D419" s="63" t="s">
        <v>2367</v>
      </c>
      <c r="E419" s="63" t="s">
        <v>2368</v>
      </c>
      <c r="F419" s="63" t="s">
        <v>2322</v>
      </c>
      <c r="G419" s="63" t="s">
        <v>28</v>
      </c>
      <c r="H419" s="63" t="s">
        <v>28</v>
      </c>
      <c r="I419" s="63" t="s">
        <v>855</v>
      </c>
    </row>
    <row r="420" ht="11.25" customHeight="1">
      <c r="A420" s="63" t="s">
        <v>2257</v>
      </c>
      <c r="B420" s="63" t="s">
        <v>16</v>
      </c>
      <c r="C420" s="63" t="s">
        <v>2380</v>
      </c>
      <c r="D420" s="63" t="s">
        <v>2381</v>
      </c>
      <c r="E420" s="63" t="s">
        <v>2382</v>
      </c>
      <c r="F420" s="63" t="s">
        <v>2383</v>
      </c>
      <c r="G420" s="63" t="s">
        <v>28</v>
      </c>
      <c r="H420" s="63" t="s">
        <v>28</v>
      </c>
      <c r="I420" s="63" t="s">
        <v>855</v>
      </c>
    </row>
    <row r="421" ht="11.25" customHeight="1">
      <c r="A421" s="63" t="s">
        <v>2257</v>
      </c>
      <c r="B421" s="63" t="s">
        <v>16</v>
      </c>
      <c r="C421" s="63" t="s">
        <v>2384</v>
      </c>
      <c r="D421" s="63" t="s">
        <v>2385</v>
      </c>
      <c r="E421" s="63" t="s">
        <v>2386</v>
      </c>
      <c r="F421" s="63" t="s">
        <v>2387</v>
      </c>
      <c r="G421" s="63" t="s">
        <v>28</v>
      </c>
      <c r="H421" s="63" t="s">
        <v>28</v>
      </c>
      <c r="I421" s="63" t="s">
        <v>855</v>
      </c>
    </row>
    <row r="422" ht="11.25" customHeight="1">
      <c r="A422" s="63" t="s">
        <v>2257</v>
      </c>
      <c r="B422" s="63" t="s">
        <v>16</v>
      </c>
      <c r="C422" s="63" t="s">
        <v>3425</v>
      </c>
      <c r="D422" s="63" t="s">
        <v>3426</v>
      </c>
      <c r="E422" s="63" t="s">
        <v>3427</v>
      </c>
      <c r="F422" s="63" t="s">
        <v>3428</v>
      </c>
      <c r="G422" s="63" t="s">
        <v>28</v>
      </c>
      <c r="H422" s="63" t="s">
        <v>28</v>
      </c>
      <c r="I422" s="63" t="s">
        <v>855</v>
      </c>
    </row>
    <row r="423" ht="11.25" customHeight="1">
      <c r="A423" s="63" t="s">
        <v>2257</v>
      </c>
      <c r="B423" s="63" t="s">
        <v>16</v>
      </c>
      <c r="C423" s="63" t="s">
        <v>3429</v>
      </c>
      <c r="D423" s="63" t="s">
        <v>3430</v>
      </c>
      <c r="E423" s="63" t="s">
        <v>3431</v>
      </c>
      <c r="F423" s="63" t="s">
        <v>2395</v>
      </c>
      <c r="G423" s="63" t="s">
        <v>28</v>
      </c>
      <c r="H423" s="63" t="s">
        <v>28</v>
      </c>
      <c r="I423" s="63" t="s">
        <v>855</v>
      </c>
    </row>
    <row r="424" ht="11.25" customHeight="1">
      <c r="A424" s="63" t="s">
        <v>2257</v>
      </c>
      <c r="B424" s="63" t="s">
        <v>16</v>
      </c>
      <c r="C424" s="63" t="s">
        <v>2400</v>
      </c>
      <c r="D424" s="63" t="s">
        <v>2401</v>
      </c>
      <c r="E424" s="63" t="s">
        <v>2402</v>
      </c>
      <c r="F424" s="63" t="s">
        <v>2403</v>
      </c>
      <c r="G424" s="63" t="s">
        <v>28</v>
      </c>
      <c r="H424" s="63" t="s">
        <v>28</v>
      </c>
      <c r="I424" s="63" t="s">
        <v>855</v>
      </c>
    </row>
    <row r="425" ht="11.25" customHeight="1">
      <c r="A425" s="63" t="s">
        <v>2257</v>
      </c>
      <c r="B425" s="63" t="s">
        <v>16</v>
      </c>
      <c r="C425" s="63" t="s">
        <v>2404</v>
      </c>
      <c r="D425" s="63" t="s">
        <v>2405</v>
      </c>
      <c r="E425" s="63" t="s">
        <v>2406</v>
      </c>
      <c r="F425" s="63" t="s">
        <v>2407</v>
      </c>
      <c r="G425" s="63" t="s">
        <v>2408</v>
      </c>
      <c r="H425" s="63" t="s">
        <v>28</v>
      </c>
      <c r="I425" s="63" t="s">
        <v>855</v>
      </c>
    </row>
    <row r="426" ht="11.25" customHeight="1">
      <c r="A426" s="63" t="s">
        <v>2257</v>
      </c>
      <c r="B426" s="63" t="s">
        <v>16</v>
      </c>
      <c r="C426" s="63" t="s">
        <v>2409</v>
      </c>
      <c r="D426" s="63" t="s">
        <v>2410</v>
      </c>
      <c r="E426" s="63" t="s">
        <v>2411</v>
      </c>
      <c r="F426" s="63" t="s">
        <v>2298</v>
      </c>
      <c r="G426" s="63" t="s">
        <v>2412</v>
      </c>
      <c r="H426" s="63" t="s">
        <v>28</v>
      </c>
      <c r="I426" s="63" t="s">
        <v>855</v>
      </c>
    </row>
    <row r="427" ht="11.25" customHeight="1">
      <c r="A427" s="63" t="s">
        <v>2257</v>
      </c>
      <c r="B427" s="63" t="s">
        <v>16</v>
      </c>
      <c r="C427" s="63" t="s">
        <v>3432</v>
      </c>
      <c r="D427" s="63" t="s">
        <v>3433</v>
      </c>
      <c r="E427" s="63" t="s">
        <v>3434</v>
      </c>
      <c r="F427" s="63" t="s">
        <v>577</v>
      </c>
      <c r="G427" s="63" t="s">
        <v>28</v>
      </c>
      <c r="H427" s="63" t="s">
        <v>28</v>
      </c>
      <c r="I427" s="63" t="s">
        <v>855</v>
      </c>
    </row>
    <row r="428" ht="11.25" customHeight="1">
      <c r="A428" s="63" t="s">
        <v>2257</v>
      </c>
      <c r="B428" s="63" t="s">
        <v>16</v>
      </c>
      <c r="C428" s="63" t="s">
        <v>3435</v>
      </c>
      <c r="D428" s="63" t="s">
        <v>3436</v>
      </c>
      <c r="E428" s="63" t="s">
        <v>3437</v>
      </c>
      <c r="F428" s="63" t="s">
        <v>577</v>
      </c>
      <c r="G428" s="63" t="s">
        <v>28</v>
      </c>
      <c r="H428" s="63" t="s">
        <v>28</v>
      </c>
      <c r="I428" s="63" t="s">
        <v>855</v>
      </c>
    </row>
    <row r="429" ht="11.25" customHeight="1">
      <c r="A429" s="63" t="s">
        <v>2257</v>
      </c>
      <c r="B429" s="63" t="s">
        <v>16</v>
      </c>
      <c r="C429" s="63" t="s">
        <v>3438</v>
      </c>
      <c r="D429" s="63" t="s">
        <v>3439</v>
      </c>
      <c r="E429" s="63" t="s">
        <v>3440</v>
      </c>
      <c r="F429" s="63" t="s">
        <v>577</v>
      </c>
      <c r="G429" s="63" t="s">
        <v>28</v>
      </c>
      <c r="H429" s="63" t="s">
        <v>28</v>
      </c>
      <c r="I429" s="63" t="s">
        <v>855</v>
      </c>
    </row>
    <row r="430" ht="11.25" customHeight="1">
      <c r="A430" s="63" t="s">
        <v>2257</v>
      </c>
      <c r="B430" s="63" t="s">
        <v>16</v>
      </c>
      <c r="C430" s="63" t="s">
        <v>3441</v>
      </c>
      <c r="D430" s="63" t="s">
        <v>3442</v>
      </c>
      <c r="E430" s="63" t="s">
        <v>3443</v>
      </c>
      <c r="F430" s="63" t="s">
        <v>577</v>
      </c>
      <c r="G430" s="63" t="s">
        <v>28</v>
      </c>
      <c r="H430" s="63" t="s">
        <v>28</v>
      </c>
      <c r="I430" s="63" t="s">
        <v>855</v>
      </c>
    </row>
    <row r="431" ht="11.25" customHeight="1">
      <c r="A431" s="63" t="s">
        <v>2257</v>
      </c>
      <c r="B431" s="63" t="s">
        <v>16</v>
      </c>
      <c r="C431" s="63" t="s">
        <v>2429</v>
      </c>
      <c r="D431" s="63" t="s">
        <v>2430</v>
      </c>
      <c r="E431" s="63" t="s">
        <v>2431</v>
      </c>
      <c r="F431" s="63" t="s">
        <v>2354</v>
      </c>
      <c r="G431" s="63" t="s">
        <v>28</v>
      </c>
      <c r="H431" s="63" t="s">
        <v>28</v>
      </c>
      <c r="I431" s="63" t="s">
        <v>855</v>
      </c>
    </row>
    <row r="432" ht="11.25" customHeight="1">
      <c r="A432" s="63" t="s">
        <v>2257</v>
      </c>
      <c r="B432" s="63" t="s">
        <v>16</v>
      </c>
      <c r="C432" s="63" t="s">
        <v>2432</v>
      </c>
      <c r="D432" s="63" t="s">
        <v>2433</v>
      </c>
      <c r="E432" s="63" t="s">
        <v>2434</v>
      </c>
      <c r="F432" s="63" t="s">
        <v>2407</v>
      </c>
      <c r="G432" s="63" t="s">
        <v>28</v>
      </c>
      <c r="H432" s="63" t="s">
        <v>28</v>
      </c>
      <c r="I432" s="63" t="s">
        <v>855</v>
      </c>
    </row>
    <row r="433" ht="11.25" customHeight="1">
      <c r="A433" s="63" t="s">
        <v>2257</v>
      </c>
      <c r="B433" s="63" t="s">
        <v>16</v>
      </c>
      <c r="C433" s="63" t="s">
        <v>2435</v>
      </c>
      <c r="D433" s="63" t="s">
        <v>2436</v>
      </c>
      <c r="E433" s="63" t="s">
        <v>2437</v>
      </c>
      <c r="F433" s="63" t="s">
        <v>2354</v>
      </c>
      <c r="G433" s="63" t="s">
        <v>28</v>
      </c>
      <c r="H433" s="63" t="s">
        <v>28</v>
      </c>
      <c r="I433" s="63" t="s">
        <v>855</v>
      </c>
    </row>
    <row r="434" ht="11.25" customHeight="1">
      <c r="A434" s="63" t="s">
        <v>2257</v>
      </c>
      <c r="B434" s="63" t="s">
        <v>16</v>
      </c>
      <c r="C434" s="63" t="s">
        <v>2438</v>
      </c>
      <c r="D434" s="63" t="s">
        <v>2439</v>
      </c>
      <c r="E434" s="63" t="s">
        <v>2440</v>
      </c>
      <c r="F434" s="63" t="s">
        <v>2441</v>
      </c>
      <c r="G434" s="63" t="s">
        <v>2442</v>
      </c>
      <c r="H434" s="63" t="s">
        <v>28</v>
      </c>
      <c r="I434" s="63" t="s">
        <v>855</v>
      </c>
    </row>
    <row r="435" ht="11.25" customHeight="1">
      <c r="A435" s="63" t="s">
        <v>2257</v>
      </c>
      <c r="B435" s="63" t="s">
        <v>16</v>
      </c>
      <c r="C435" s="63" t="s">
        <v>3444</v>
      </c>
      <c r="D435" s="63" t="s">
        <v>3445</v>
      </c>
      <c r="E435" s="63" t="s">
        <v>3446</v>
      </c>
      <c r="F435" s="63" t="s">
        <v>2485</v>
      </c>
      <c r="G435" s="63" t="s">
        <v>3447</v>
      </c>
      <c r="H435" s="63" t="s">
        <v>28</v>
      </c>
      <c r="I435" s="63" t="s">
        <v>855</v>
      </c>
    </row>
    <row r="436" ht="11.25" customHeight="1">
      <c r="A436" s="63" t="s">
        <v>2257</v>
      </c>
      <c r="B436" s="63" t="s">
        <v>16</v>
      </c>
      <c r="C436" s="63" t="s">
        <v>2482</v>
      </c>
      <c r="D436" s="63" t="s">
        <v>2483</v>
      </c>
      <c r="E436" s="63" t="s">
        <v>2484</v>
      </c>
      <c r="F436" s="63" t="s">
        <v>2485</v>
      </c>
      <c r="G436" s="63" t="s">
        <v>28</v>
      </c>
      <c r="H436" s="63" t="s">
        <v>28</v>
      </c>
      <c r="I436" s="63" t="s">
        <v>855</v>
      </c>
    </row>
    <row r="437" ht="11.25" customHeight="1">
      <c r="A437" s="63" t="s">
        <v>2257</v>
      </c>
      <c r="B437" s="63" t="s">
        <v>16</v>
      </c>
      <c r="C437" s="63" t="s">
        <v>3448</v>
      </c>
      <c r="D437" s="63" t="s">
        <v>3449</v>
      </c>
      <c r="E437" s="63" t="s">
        <v>3450</v>
      </c>
      <c r="F437" s="63" t="s">
        <v>2395</v>
      </c>
      <c r="G437" s="63" t="s">
        <v>28</v>
      </c>
      <c r="H437" s="63" t="s">
        <v>28</v>
      </c>
      <c r="I437" s="63" t="s">
        <v>855</v>
      </c>
    </row>
    <row r="438" ht="11.25" customHeight="1">
      <c r="A438" s="63" t="s">
        <v>2257</v>
      </c>
      <c r="B438" s="63" t="s">
        <v>16</v>
      </c>
      <c r="C438" s="63" t="s">
        <v>3451</v>
      </c>
      <c r="D438" s="63" t="s">
        <v>3452</v>
      </c>
      <c r="E438" s="63" t="s">
        <v>3453</v>
      </c>
      <c r="F438" s="63" t="s">
        <v>2395</v>
      </c>
      <c r="G438" s="63" t="s">
        <v>28</v>
      </c>
      <c r="H438" s="63" t="s">
        <v>28</v>
      </c>
      <c r="I438" s="63" t="s">
        <v>855</v>
      </c>
    </row>
    <row r="439" ht="11.25" customHeight="1">
      <c r="A439" s="63" t="s">
        <v>2257</v>
      </c>
      <c r="B439" s="63" t="s">
        <v>16</v>
      </c>
      <c r="C439" s="63" t="s">
        <v>3454</v>
      </c>
      <c r="D439" s="63" t="s">
        <v>3455</v>
      </c>
      <c r="E439" s="63" t="s">
        <v>3456</v>
      </c>
      <c r="F439" s="63" t="s">
        <v>2288</v>
      </c>
      <c r="G439" s="63" t="s">
        <v>3457</v>
      </c>
      <c r="H439" s="63" t="s">
        <v>28</v>
      </c>
      <c r="I439" s="63" t="s">
        <v>855</v>
      </c>
    </row>
    <row r="440" ht="11.25" customHeight="1">
      <c r="A440" s="63" t="s">
        <v>2257</v>
      </c>
      <c r="B440" s="63" t="s">
        <v>16</v>
      </c>
      <c r="C440" s="63" t="s">
        <v>2486</v>
      </c>
      <c r="D440" s="63" t="s">
        <v>2487</v>
      </c>
      <c r="E440" s="63" t="s">
        <v>2488</v>
      </c>
      <c r="F440" s="63" t="s">
        <v>2288</v>
      </c>
      <c r="G440" s="63" t="s">
        <v>2489</v>
      </c>
      <c r="H440" s="63" t="s">
        <v>28</v>
      </c>
      <c r="I440" s="63" t="s">
        <v>855</v>
      </c>
    </row>
    <row r="441" ht="11.25" customHeight="1">
      <c r="A441" s="63" t="s">
        <v>2257</v>
      </c>
      <c r="B441" s="63" t="s">
        <v>16</v>
      </c>
      <c r="C441" s="63" t="s">
        <v>3458</v>
      </c>
      <c r="D441" s="63" t="s">
        <v>3459</v>
      </c>
      <c r="E441" s="63" t="s">
        <v>3460</v>
      </c>
      <c r="F441" s="63" t="s">
        <v>2395</v>
      </c>
      <c r="G441" s="63" t="s">
        <v>28</v>
      </c>
      <c r="H441" s="63" t="s">
        <v>28</v>
      </c>
      <c r="I441" s="63" t="s">
        <v>855</v>
      </c>
    </row>
    <row r="442" ht="11.25" customHeight="1">
      <c r="A442" s="63" t="s">
        <v>2257</v>
      </c>
      <c r="B442" s="63" t="s">
        <v>16</v>
      </c>
      <c r="C442" s="63" t="s">
        <v>2490</v>
      </c>
      <c r="D442" s="63" t="s">
        <v>2491</v>
      </c>
      <c r="E442" s="63" t="s">
        <v>2492</v>
      </c>
      <c r="F442" s="63" t="s">
        <v>2288</v>
      </c>
      <c r="G442" s="63" t="s">
        <v>2493</v>
      </c>
      <c r="H442" s="63" t="s">
        <v>28</v>
      </c>
      <c r="I442" s="63" t="s">
        <v>855</v>
      </c>
    </row>
    <row r="443" ht="11.25" customHeight="1">
      <c r="A443" s="63" t="s">
        <v>2257</v>
      </c>
      <c r="B443" s="63" t="s">
        <v>16</v>
      </c>
      <c r="C443" s="63" t="s">
        <v>2494</v>
      </c>
      <c r="D443" s="63" t="s">
        <v>2495</v>
      </c>
      <c r="E443" s="63" t="s">
        <v>2496</v>
      </c>
      <c r="F443" s="63" t="s">
        <v>2395</v>
      </c>
      <c r="G443" s="63" t="s">
        <v>2497</v>
      </c>
      <c r="H443" s="63" t="s">
        <v>28</v>
      </c>
      <c r="I443" s="63" t="s">
        <v>855</v>
      </c>
    </row>
    <row r="444" ht="11.25" customHeight="1">
      <c r="A444" s="63" t="s">
        <v>2257</v>
      </c>
      <c r="B444" s="63" t="s">
        <v>16</v>
      </c>
      <c r="C444" s="63" t="s">
        <v>3461</v>
      </c>
      <c r="D444" s="63" t="s">
        <v>3462</v>
      </c>
      <c r="E444" s="63" t="s">
        <v>3463</v>
      </c>
      <c r="F444" s="63" t="s">
        <v>2395</v>
      </c>
      <c r="G444" s="63" t="s">
        <v>28</v>
      </c>
      <c r="H444" s="63" t="s">
        <v>28</v>
      </c>
      <c r="I444" s="63" t="s">
        <v>855</v>
      </c>
    </row>
    <row r="445" ht="11.25" customHeight="1">
      <c r="A445" s="63" t="s">
        <v>2257</v>
      </c>
      <c r="B445" s="63" t="s">
        <v>16</v>
      </c>
      <c r="C445" s="63" t="s">
        <v>2498</v>
      </c>
      <c r="D445" s="63" t="s">
        <v>2499</v>
      </c>
      <c r="E445" s="63" t="s">
        <v>2500</v>
      </c>
      <c r="F445" s="63" t="s">
        <v>2395</v>
      </c>
      <c r="G445" s="63" t="s">
        <v>2501</v>
      </c>
      <c r="H445" s="63" t="s">
        <v>28</v>
      </c>
      <c r="I445" s="63" t="s">
        <v>855</v>
      </c>
    </row>
    <row r="446" ht="11.25" customHeight="1">
      <c r="A446" s="63" t="s">
        <v>2257</v>
      </c>
      <c r="B446" s="63" t="s">
        <v>16</v>
      </c>
      <c r="C446" s="63" t="s">
        <v>3464</v>
      </c>
      <c r="D446" s="63" t="s">
        <v>3465</v>
      </c>
      <c r="E446" s="63" t="s">
        <v>3466</v>
      </c>
      <c r="F446" s="63" t="s">
        <v>2485</v>
      </c>
      <c r="G446" s="63" t="s">
        <v>28</v>
      </c>
      <c r="H446" s="63" t="s">
        <v>28</v>
      </c>
      <c r="I446" s="63" t="s">
        <v>855</v>
      </c>
    </row>
    <row r="447" ht="11.25" customHeight="1">
      <c r="A447" s="63" t="s">
        <v>2257</v>
      </c>
      <c r="B447" s="63" t="s">
        <v>16</v>
      </c>
      <c r="C447" s="63" t="s">
        <v>2502</v>
      </c>
      <c r="D447" s="63" t="s">
        <v>2503</v>
      </c>
      <c r="E447" s="63" t="s">
        <v>2504</v>
      </c>
      <c r="F447" s="63" t="s">
        <v>2395</v>
      </c>
      <c r="G447" s="63" t="s">
        <v>2505</v>
      </c>
      <c r="H447" s="63" t="s">
        <v>28</v>
      </c>
      <c r="I447" s="63" t="s">
        <v>855</v>
      </c>
    </row>
    <row r="448" ht="11.25" customHeight="1">
      <c r="A448" s="63" t="s">
        <v>2257</v>
      </c>
      <c r="B448" s="63" t="s">
        <v>16</v>
      </c>
      <c r="C448" s="63" t="s">
        <v>2506</v>
      </c>
      <c r="D448" s="63" t="s">
        <v>2507</v>
      </c>
      <c r="E448" s="63" t="s">
        <v>2508</v>
      </c>
      <c r="F448" s="63" t="s">
        <v>2395</v>
      </c>
      <c r="G448" s="63" t="s">
        <v>28</v>
      </c>
      <c r="H448" s="63" t="s">
        <v>28</v>
      </c>
      <c r="I448" s="63" t="s">
        <v>855</v>
      </c>
    </row>
    <row r="449" ht="11.25" customHeight="1">
      <c r="A449" s="63" t="s">
        <v>2257</v>
      </c>
      <c r="B449" s="63" t="s">
        <v>16</v>
      </c>
      <c r="C449" s="63" t="s">
        <v>2509</v>
      </c>
      <c r="D449" s="63" t="s">
        <v>2510</v>
      </c>
      <c r="E449" s="63" t="s">
        <v>2511</v>
      </c>
      <c r="F449" s="63" t="s">
        <v>2485</v>
      </c>
      <c r="G449" s="63" t="s">
        <v>28</v>
      </c>
      <c r="H449" s="63" t="s">
        <v>28</v>
      </c>
      <c r="I449" s="63" t="s">
        <v>855</v>
      </c>
    </row>
    <row r="450" ht="11.25" customHeight="1">
      <c r="A450" s="63" t="s">
        <v>2257</v>
      </c>
      <c r="B450" s="63" t="s">
        <v>16</v>
      </c>
      <c r="C450" s="63" t="s">
        <v>2515</v>
      </c>
      <c r="D450" s="63" t="s">
        <v>2516</v>
      </c>
      <c r="E450" s="63" t="s">
        <v>2517</v>
      </c>
      <c r="F450" s="63" t="s">
        <v>2518</v>
      </c>
      <c r="G450" s="63" t="s">
        <v>28</v>
      </c>
      <c r="H450" s="63" t="s">
        <v>28</v>
      </c>
      <c r="I450" s="63" t="s">
        <v>855</v>
      </c>
    </row>
    <row r="451" ht="11.25" customHeight="1">
      <c r="A451" s="63" t="s">
        <v>2257</v>
      </c>
      <c r="B451" s="63" t="s">
        <v>16</v>
      </c>
      <c r="C451" s="63" t="s">
        <v>3467</v>
      </c>
      <c r="D451" s="63" t="s">
        <v>3468</v>
      </c>
      <c r="E451" s="63" t="s">
        <v>3469</v>
      </c>
      <c r="F451" s="63" t="s">
        <v>2395</v>
      </c>
      <c r="G451" s="63" t="s">
        <v>28</v>
      </c>
      <c r="H451" s="63" t="s">
        <v>28</v>
      </c>
      <c r="I451" s="63" t="s">
        <v>855</v>
      </c>
    </row>
    <row r="452" ht="11.25" customHeight="1">
      <c r="A452" s="63" t="s">
        <v>2257</v>
      </c>
      <c r="B452" s="63" t="s">
        <v>16</v>
      </c>
      <c r="C452" s="63" t="s">
        <v>2527</v>
      </c>
      <c r="D452" s="63" t="s">
        <v>2528</v>
      </c>
      <c r="E452" s="63" t="s">
        <v>2529</v>
      </c>
      <c r="F452" s="63" t="s">
        <v>2485</v>
      </c>
      <c r="G452" s="63" t="s">
        <v>28</v>
      </c>
      <c r="H452" s="63" t="s">
        <v>28</v>
      </c>
      <c r="I452" s="63" t="s">
        <v>855</v>
      </c>
    </row>
    <row r="453" ht="11.25" customHeight="1">
      <c r="A453" s="63" t="s">
        <v>2257</v>
      </c>
      <c r="B453" s="63" t="s">
        <v>16</v>
      </c>
      <c r="C453" s="63" t="s">
        <v>3470</v>
      </c>
      <c r="D453" s="63" t="s">
        <v>3471</v>
      </c>
      <c r="E453" s="63" t="s">
        <v>3472</v>
      </c>
      <c r="F453" s="63" t="s">
        <v>2485</v>
      </c>
      <c r="G453" s="63" t="s">
        <v>3473</v>
      </c>
      <c r="H453" s="63" t="s">
        <v>28</v>
      </c>
      <c r="I453" s="63" t="s">
        <v>855</v>
      </c>
    </row>
    <row r="454" ht="11.25" customHeight="1">
      <c r="A454" s="63" t="s">
        <v>2257</v>
      </c>
      <c r="B454" s="63" t="s">
        <v>16</v>
      </c>
      <c r="C454" s="63" t="s">
        <v>28</v>
      </c>
      <c r="D454" s="63" t="s">
        <v>2530</v>
      </c>
      <c r="E454" s="63" t="s">
        <v>2531</v>
      </c>
      <c r="F454" s="63" t="s">
        <v>2275</v>
      </c>
      <c r="G454" s="63" t="s">
        <v>28</v>
      </c>
      <c r="H454" s="63" t="s">
        <v>28</v>
      </c>
      <c r="I454" s="63" t="s">
        <v>855</v>
      </c>
    </row>
    <row r="455" ht="11.25" customHeight="1">
      <c r="A455" s="63" t="s">
        <v>2257</v>
      </c>
      <c r="B455" s="63" t="s">
        <v>16</v>
      </c>
      <c r="C455" s="63" t="s">
        <v>2532</v>
      </c>
      <c r="D455" s="63" t="s">
        <v>2533</v>
      </c>
      <c r="E455" s="63" t="s">
        <v>2534</v>
      </c>
      <c r="F455" s="63" t="s">
        <v>2364</v>
      </c>
      <c r="G455" s="63" t="s">
        <v>2535</v>
      </c>
      <c r="H455" s="63" t="s">
        <v>28</v>
      </c>
      <c r="I455" s="63" t="s">
        <v>855</v>
      </c>
    </row>
    <row r="456" ht="11.25" customHeight="1">
      <c r="A456" s="63" t="s">
        <v>2257</v>
      </c>
      <c r="B456" s="63" t="s">
        <v>16</v>
      </c>
      <c r="C456" s="63" t="s">
        <v>2536</v>
      </c>
      <c r="D456" s="63" t="s">
        <v>2537</v>
      </c>
      <c r="E456" s="63" t="s">
        <v>2538</v>
      </c>
      <c r="F456" s="63" t="s">
        <v>2391</v>
      </c>
      <c r="G456" s="63" t="s">
        <v>28</v>
      </c>
      <c r="H456" s="63" t="s">
        <v>28</v>
      </c>
      <c r="I456" s="63" t="s">
        <v>855</v>
      </c>
    </row>
    <row r="457" ht="11.25" customHeight="1">
      <c r="A457" s="63" t="s">
        <v>2257</v>
      </c>
      <c r="B457" s="63" t="s">
        <v>16</v>
      </c>
      <c r="C457" s="63" t="s">
        <v>3474</v>
      </c>
      <c r="D457" s="63" t="s">
        <v>3475</v>
      </c>
      <c r="E457" s="63" t="s">
        <v>3476</v>
      </c>
      <c r="F457" s="63" t="s">
        <v>2485</v>
      </c>
      <c r="G457" s="63" t="s">
        <v>28</v>
      </c>
      <c r="H457" s="63" t="s">
        <v>28</v>
      </c>
      <c r="I457" s="63" t="s">
        <v>855</v>
      </c>
    </row>
    <row r="458" ht="11.25" customHeight="1">
      <c r="A458" s="63" t="s">
        <v>2257</v>
      </c>
      <c r="B458" s="63" t="s">
        <v>16</v>
      </c>
      <c r="C458" s="63" t="s">
        <v>3477</v>
      </c>
      <c r="D458" s="63" t="s">
        <v>3478</v>
      </c>
      <c r="E458" s="63" t="s">
        <v>3479</v>
      </c>
      <c r="F458" s="63" t="s">
        <v>2391</v>
      </c>
      <c r="G458" s="63" t="s">
        <v>28</v>
      </c>
      <c r="H458" s="63" t="s">
        <v>28</v>
      </c>
      <c r="I458" s="63" t="s">
        <v>855</v>
      </c>
    </row>
    <row r="459" ht="11.25" customHeight="1">
      <c r="A459" s="63" t="s">
        <v>2257</v>
      </c>
      <c r="B459" s="63" t="s">
        <v>16</v>
      </c>
      <c r="C459" s="63" t="s">
        <v>3480</v>
      </c>
      <c r="D459" s="63" t="s">
        <v>3481</v>
      </c>
      <c r="E459" s="63" t="s">
        <v>3482</v>
      </c>
      <c r="F459" s="63" t="s">
        <v>2288</v>
      </c>
      <c r="G459" s="63" t="s">
        <v>28</v>
      </c>
      <c r="H459" s="63" t="s">
        <v>28</v>
      </c>
      <c r="I459" s="63" t="s">
        <v>855</v>
      </c>
    </row>
    <row r="460" ht="11.25" customHeight="1">
      <c r="A460" s="63" t="s">
        <v>2257</v>
      </c>
      <c r="B460" s="63" t="s">
        <v>16</v>
      </c>
      <c r="C460" s="63" t="s">
        <v>2539</v>
      </c>
      <c r="D460" s="63" t="s">
        <v>2540</v>
      </c>
      <c r="E460" s="63" t="s">
        <v>2541</v>
      </c>
      <c r="F460" s="63" t="s">
        <v>2395</v>
      </c>
      <c r="G460" s="63" t="s">
        <v>28</v>
      </c>
      <c r="H460" s="63" t="s">
        <v>28</v>
      </c>
      <c r="I460" s="63" t="s">
        <v>855</v>
      </c>
    </row>
    <row r="461" ht="11.25" customHeight="1">
      <c r="A461" s="63" t="s">
        <v>2257</v>
      </c>
      <c r="B461" s="63" t="s">
        <v>16</v>
      </c>
      <c r="C461" s="63" t="s">
        <v>3392</v>
      </c>
      <c r="D461" s="63" t="s">
        <v>3393</v>
      </c>
      <c r="E461" s="63" t="s">
        <v>3394</v>
      </c>
      <c r="F461" s="63" t="s">
        <v>2298</v>
      </c>
      <c r="G461" s="63" t="s">
        <v>28</v>
      </c>
      <c r="H461" s="63" t="s">
        <v>28</v>
      </c>
      <c r="I461" s="63" t="s">
        <v>855</v>
      </c>
    </row>
    <row r="462" ht="11.25" customHeight="1">
      <c r="A462" s="63" t="s">
        <v>2257</v>
      </c>
      <c r="B462" s="63" t="s">
        <v>16</v>
      </c>
      <c r="C462" s="63" t="s">
        <v>2542</v>
      </c>
      <c r="D462" s="63" t="s">
        <v>2543</v>
      </c>
      <c r="E462" s="63" t="s">
        <v>2544</v>
      </c>
      <c r="F462" s="63" t="s">
        <v>2298</v>
      </c>
      <c r="G462" s="63" t="s">
        <v>28</v>
      </c>
      <c r="H462" s="63" t="s">
        <v>28</v>
      </c>
      <c r="I462" s="63" t="s">
        <v>855</v>
      </c>
    </row>
    <row r="463" ht="11.25" customHeight="1">
      <c r="A463" s="63" t="s">
        <v>2257</v>
      </c>
      <c r="B463" s="63" t="s">
        <v>16</v>
      </c>
      <c r="C463" s="63" t="s">
        <v>3483</v>
      </c>
      <c r="D463" s="63" t="s">
        <v>3484</v>
      </c>
      <c r="E463" s="63" t="s">
        <v>3485</v>
      </c>
      <c r="F463" s="63" t="s">
        <v>2403</v>
      </c>
      <c r="G463" s="63" t="s">
        <v>28</v>
      </c>
      <c r="H463" s="63" t="s">
        <v>28</v>
      </c>
      <c r="I463" s="63" t="s">
        <v>855</v>
      </c>
    </row>
    <row r="464" ht="11.25" customHeight="1">
      <c r="A464" s="63" t="s">
        <v>2257</v>
      </c>
      <c r="B464" s="63" t="s">
        <v>16</v>
      </c>
      <c r="C464" s="63" t="s">
        <v>3486</v>
      </c>
      <c r="D464" s="63" t="s">
        <v>3487</v>
      </c>
      <c r="E464" s="63" t="s">
        <v>3488</v>
      </c>
      <c r="F464" s="63" t="s">
        <v>2485</v>
      </c>
      <c r="G464" s="63" t="s">
        <v>3489</v>
      </c>
      <c r="H464" s="63" t="s">
        <v>28</v>
      </c>
      <c r="I464" s="63" t="s">
        <v>855</v>
      </c>
    </row>
    <row r="465" ht="11.25" customHeight="1">
      <c r="A465" s="63" t="s">
        <v>2257</v>
      </c>
      <c r="B465" s="63" t="s">
        <v>16</v>
      </c>
      <c r="C465" s="63" t="s">
        <v>2545</v>
      </c>
      <c r="D465" s="63" t="s">
        <v>2546</v>
      </c>
      <c r="E465" s="63" t="s">
        <v>2547</v>
      </c>
      <c r="F465" s="63" t="s">
        <v>2298</v>
      </c>
      <c r="G465" s="63" t="s">
        <v>28</v>
      </c>
      <c r="H465" s="63" t="s">
        <v>28</v>
      </c>
      <c r="I465" s="63" t="s">
        <v>855</v>
      </c>
    </row>
    <row r="466" ht="11.25" customHeight="1">
      <c r="A466" s="63" t="s">
        <v>2257</v>
      </c>
      <c r="B466" s="63" t="s">
        <v>16</v>
      </c>
      <c r="C466" s="63" t="s">
        <v>2548</v>
      </c>
      <c r="D466" s="63" t="s">
        <v>2549</v>
      </c>
      <c r="E466" s="63" t="s">
        <v>2550</v>
      </c>
      <c r="F466" s="63" t="s">
        <v>2298</v>
      </c>
      <c r="G466" s="63" t="s">
        <v>2551</v>
      </c>
      <c r="H466" s="63" t="s">
        <v>28</v>
      </c>
      <c r="I466" s="63" t="s">
        <v>855</v>
      </c>
    </row>
    <row r="467" ht="11.25" customHeight="1">
      <c r="A467" s="63" t="s">
        <v>2257</v>
      </c>
      <c r="B467" s="63" t="s">
        <v>16</v>
      </c>
      <c r="C467" s="63" t="s">
        <v>3490</v>
      </c>
      <c r="D467" s="63" t="s">
        <v>3491</v>
      </c>
      <c r="E467" s="63" t="s">
        <v>3492</v>
      </c>
      <c r="F467" s="63" t="s">
        <v>2322</v>
      </c>
      <c r="G467" s="63" t="s">
        <v>28</v>
      </c>
      <c r="H467" s="63" t="s">
        <v>28</v>
      </c>
      <c r="I467" s="63" t="s">
        <v>855</v>
      </c>
    </row>
    <row r="468" ht="11.25" customHeight="1">
      <c r="A468" s="63" t="s">
        <v>2257</v>
      </c>
      <c r="B468" s="63" t="s">
        <v>16</v>
      </c>
      <c r="C468" s="63" t="s">
        <v>2561</v>
      </c>
      <c r="D468" s="63" t="s">
        <v>2562</v>
      </c>
      <c r="E468" s="63" t="s">
        <v>2563</v>
      </c>
      <c r="F468" s="63" t="s">
        <v>2564</v>
      </c>
      <c r="G468" s="63" t="s">
        <v>2565</v>
      </c>
      <c r="H468" s="63" t="s">
        <v>28</v>
      </c>
      <c r="I468" s="63" t="s">
        <v>855</v>
      </c>
    </row>
    <row r="469" ht="11.25" customHeight="1">
      <c r="A469" s="63" t="s">
        <v>2257</v>
      </c>
      <c r="B469" s="63" t="s">
        <v>16</v>
      </c>
      <c r="C469" s="63" t="s">
        <v>3493</v>
      </c>
      <c r="D469" s="63" t="s">
        <v>3494</v>
      </c>
      <c r="E469" s="63" t="s">
        <v>3495</v>
      </c>
      <c r="F469" s="63" t="s">
        <v>2569</v>
      </c>
      <c r="G469" s="63" t="s">
        <v>28</v>
      </c>
      <c r="H469" s="63" t="s">
        <v>28</v>
      </c>
      <c r="I469" s="63" t="s">
        <v>855</v>
      </c>
    </row>
    <row r="470" ht="11.25" customHeight="1">
      <c r="A470" s="63" t="s">
        <v>2257</v>
      </c>
      <c r="B470" s="63" t="s">
        <v>16</v>
      </c>
      <c r="C470" s="63" t="s">
        <v>3496</v>
      </c>
      <c r="D470" s="63" t="s">
        <v>3497</v>
      </c>
      <c r="E470" s="63" t="s">
        <v>3498</v>
      </c>
      <c r="F470" s="63" t="s">
        <v>3499</v>
      </c>
      <c r="G470" s="63" t="s">
        <v>28</v>
      </c>
      <c r="H470" s="63" t="s">
        <v>28</v>
      </c>
      <c r="I470" s="63" t="s">
        <v>855</v>
      </c>
    </row>
    <row r="471" ht="11.25" customHeight="1">
      <c r="A471" s="63" t="s">
        <v>2257</v>
      </c>
      <c r="B471" s="63" t="s">
        <v>16</v>
      </c>
      <c r="C471" s="63" t="s">
        <v>3500</v>
      </c>
      <c r="D471" s="63" t="s">
        <v>3501</v>
      </c>
      <c r="E471" s="63" t="s">
        <v>3502</v>
      </c>
      <c r="F471" s="63" t="s">
        <v>2364</v>
      </c>
      <c r="G471" s="63" t="s">
        <v>28</v>
      </c>
      <c r="H471" s="63" t="s">
        <v>28</v>
      </c>
      <c r="I471" s="63" t="s">
        <v>855</v>
      </c>
    </row>
    <row r="472" ht="11.25" customHeight="1">
      <c r="A472" s="63" t="s">
        <v>2257</v>
      </c>
      <c r="B472" s="63" t="s">
        <v>16</v>
      </c>
      <c r="C472" s="63" t="s">
        <v>2570</v>
      </c>
      <c r="D472" s="63" t="s">
        <v>2571</v>
      </c>
      <c r="E472" s="63" t="s">
        <v>2572</v>
      </c>
      <c r="F472" s="63" t="s">
        <v>2573</v>
      </c>
      <c r="G472" s="63" t="s">
        <v>28</v>
      </c>
      <c r="H472" s="63" t="s">
        <v>28</v>
      </c>
      <c r="I472" s="63" t="s">
        <v>855</v>
      </c>
    </row>
    <row r="473" ht="11.25" customHeight="1">
      <c r="A473" s="63" t="s">
        <v>2257</v>
      </c>
      <c r="B473" s="63" t="s">
        <v>16</v>
      </c>
      <c r="C473" s="63" t="s">
        <v>3503</v>
      </c>
      <c r="D473" s="63" t="s">
        <v>3504</v>
      </c>
      <c r="E473" s="63" t="s">
        <v>3505</v>
      </c>
      <c r="F473" s="63" t="s">
        <v>2364</v>
      </c>
      <c r="G473" s="63" t="s">
        <v>28</v>
      </c>
      <c r="H473" s="63" t="s">
        <v>28</v>
      </c>
      <c r="I473" s="63" t="s">
        <v>855</v>
      </c>
    </row>
    <row r="474" ht="11.25" customHeight="1">
      <c r="A474" s="63" t="s">
        <v>2257</v>
      </c>
      <c r="B474" s="63" t="s">
        <v>16</v>
      </c>
      <c r="C474" s="63" t="s">
        <v>2574</v>
      </c>
      <c r="D474" s="63" t="s">
        <v>2575</v>
      </c>
      <c r="E474" s="63" t="s">
        <v>2576</v>
      </c>
      <c r="F474" s="63" t="s">
        <v>2391</v>
      </c>
      <c r="G474" s="63" t="s">
        <v>28</v>
      </c>
      <c r="H474" s="63" t="s">
        <v>28</v>
      </c>
      <c r="I474" s="63" t="s">
        <v>855</v>
      </c>
    </row>
    <row r="475" ht="11.25" customHeight="1">
      <c r="A475" s="63" t="s">
        <v>2257</v>
      </c>
      <c r="B475" s="63" t="s">
        <v>16</v>
      </c>
      <c r="C475" s="63" t="s">
        <v>3506</v>
      </c>
      <c r="D475" s="63" t="s">
        <v>3507</v>
      </c>
      <c r="E475" s="63" t="s">
        <v>3508</v>
      </c>
      <c r="F475" s="63" t="s">
        <v>2465</v>
      </c>
      <c r="G475" s="63" t="s">
        <v>28</v>
      </c>
      <c r="H475" s="63" t="s">
        <v>3218</v>
      </c>
      <c r="I475" s="63" t="s">
        <v>855</v>
      </c>
    </row>
    <row r="476" ht="11.25" customHeight="1">
      <c r="A476" s="63" t="s">
        <v>2257</v>
      </c>
      <c r="B476" s="63" t="s">
        <v>16</v>
      </c>
      <c r="C476" s="63" t="s">
        <v>3509</v>
      </c>
      <c r="D476" s="63" t="s">
        <v>3507</v>
      </c>
      <c r="E476" s="63" t="s">
        <v>3510</v>
      </c>
      <c r="F476" s="63" t="s">
        <v>2330</v>
      </c>
      <c r="G476" s="63" t="s">
        <v>28</v>
      </c>
      <c r="H476" s="63" t="s">
        <v>28</v>
      </c>
      <c r="I476" s="63" t="s">
        <v>855</v>
      </c>
    </row>
    <row r="477" ht="11.25" customHeight="1">
      <c r="A477" s="63" t="s">
        <v>2257</v>
      </c>
      <c r="B477" s="63" t="s">
        <v>16</v>
      </c>
      <c r="C477" s="63" t="s">
        <v>3511</v>
      </c>
      <c r="D477" s="63" t="s">
        <v>3512</v>
      </c>
      <c r="E477" s="63" t="s">
        <v>3513</v>
      </c>
      <c r="F477" s="63" t="s">
        <v>3514</v>
      </c>
      <c r="G477" s="63" t="s">
        <v>28</v>
      </c>
      <c r="H477" s="63" t="s">
        <v>28</v>
      </c>
      <c r="I477" s="63" t="s">
        <v>855</v>
      </c>
    </row>
    <row r="478" ht="11.25" customHeight="1">
      <c r="A478" s="63" t="s">
        <v>2257</v>
      </c>
      <c r="B478" s="63" t="s">
        <v>16</v>
      </c>
      <c r="C478" s="63" t="s">
        <v>3515</v>
      </c>
      <c r="D478" s="63" t="s">
        <v>3516</v>
      </c>
      <c r="E478" s="63" t="s">
        <v>3517</v>
      </c>
      <c r="F478" s="63" t="s">
        <v>2573</v>
      </c>
      <c r="G478" s="63" t="s">
        <v>28</v>
      </c>
      <c r="H478" s="63" t="s">
        <v>28</v>
      </c>
      <c r="I478" s="63" t="s">
        <v>855</v>
      </c>
    </row>
    <row r="479" ht="11.25" customHeight="1">
      <c r="A479" s="63" t="s">
        <v>2257</v>
      </c>
      <c r="B479" s="63" t="s">
        <v>16</v>
      </c>
      <c r="C479" s="63" t="s">
        <v>3518</v>
      </c>
      <c r="D479" s="63" t="s">
        <v>3519</v>
      </c>
      <c r="E479" s="63" t="s">
        <v>3520</v>
      </c>
      <c r="F479" s="63" t="s">
        <v>2364</v>
      </c>
      <c r="G479" s="63" t="s">
        <v>28</v>
      </c>
      <c r="H479" s="63" t="s">
        <v>28</v>
      </c>
      <c r="I479" s="63" t="s">
        <v>855</v>
      </c>
    </row>
    <row r="480" ht="11.25" customHeight="1">
      <c r="A480" s="63" t="s">
        <v>2257</v>
      </c>
      <c r="B480" s="63" t="s">
        <v>16</v>
      </c>
      <c r="C480" s="63" t="s">
        <v>2577</v>
      </c>
      <c r="D480" s="63" t="s">
        <v>2578</v>
      </c>
      <c r="E480" s="63" t="s">
        <v>2579</v>
      </c>
      <c r="F480" s="63" t="s">
        <v>2330</v>
      </c>
      <c r="G480" s="63" t="s">
        <v>28</v>
      </c>
      <c r="H480" s="63" t="s">
        <v>28</v>
      </c>
      <c r="I480" s="63" t="s">
        <v>855</v>
      </c>
    </row>
    <row r="481" ht="11.25" customHeight="1">
      <c r="A481" s="63" t="s">
        <v>2257</v>
      </c>
      <c r="B481" s="63" t="s">
        <v>16</v>
      </c>
      <c r="C481" s="63" t="s">
        <v>2584</v>
      </c>
      <c r="D481" s="63" t="s">
        <v>2585</v>
      </c>
      <c r="E481" s="63" t="s">
        <v>2586</v>
      </c>
      <c r="F481" s="63" t="s">
        <v>2298</v>
      </c>
      <c r="G481" s="63" t="s">
        <v>2587</v>
      </c>
      <c r="H481" s="63" t="s">
        <v>28</v>
      </c>
      <c r="I481" s="63" t="s">
        <v>855</v>
      </c>
    </row>
    <row r="482" ht="11.25" customHeight="1">
      <c r="A482" s="63" t="s">
        <v>2257</v>
      </c>
      <c r="B482" s="63" t="s">
        <v>16</v>
      </c>
      <c r="C482" s="63" t="s">
        <v>2593</v>
      </c>
      <c r="D482" s="63" t="s">
        <v>2594</v>
      </c>
      <c r="E482" s="63" t="s">
        <v>2595</v>
      </c>
      <c r="F482" s="63" t="s">
        <v>2407</v>
      </c>
      <c r="G482" s="63" t="s">
        <v>2596</v>
      </c>
      <c r="H482" s="63" t="s">
        <v>28</v>
      </c>
      <c r="I482" s="63" t="s">
        <v>855</v>
      </c>
    </row>
    <row r="483" ht="11.25" customHeight="1">
      <c r="A483" s="63" t="s">
        <v>2257</v>
      </c>
      <c r="B483" s="63" t="s">
        <v>16</v>
      </c>
      <c r="C483" s="63" t="s">
        <v>3521</v>
      </c>
      <c r="D483" s="63" t="s">
        <v>3522</v>
      </c>
      <c r="E483" s="63" t="s">
        <v>3523</v>
      </c>
      <c r="F483" s="63" t="s">
        <v>2407</v>
      </c>
      <c r="G483" s="63" t="s">
        <v>28</v>
      </c>
      <c r="H483" s="63" t="s">
        <v>28</v>
      </c>
      <c r="I483" s="63" t="s">
        <v>855</v>
      </c>
    </row>
    <row r="484" ht="11.25" customHeight="1">
      <c r="A484" s="63" t="s">
        <v>2257</v>
      </c>
      <c r="B484" s="63" t="s">
        <v>16</v>
      </c>
      <c r="C484" s="63" t="s">
        <v>2597</v>
      </c>
      <c r="D484" s="63" t="s">
        <v>2598</v>
      </c>
      <c r="E484" s="63" t="s">
        <v>2599</v>
      </c>
      <c r="F484" s="63" t="s">
        <v>2330</v>
      </c>
      <c r="G484" s="63" t="s">
        <v>2600</v>
      </c>
      <c r="H484" s="63" t="s">
        <v>28</v>
      </c>
      <c r="I484" s="63" t="s">
        <v>855</v>
      </c>
    </row>
    <row r="485" ht="11.25" customHeight="1">
      <c r="A485" s="63" t="s">
        <v>2257</v>
      </c>
      <c r="B485" s="63" t="s">
        <v>16</v>
      </c>
      <c r="C485" s="63" t="s">
        <v>3524</v>
      </c>
      <c r="D485" s="63" t="s">
        <v>3525</v>
      </c>
      <c r="E485" s="63" t="s">
        <v>3526</v>
      </c>
      <c r="F485" s="63" t="s">
        <v>2481</v>
      </c>
      <c r="G485" s="63" t="s">
        <v>28</v>
      </c>
      <c r="H485" s="63" t="s">
        <v>28</v>
      </c>
      <c r="I485" s="63" t="s">
        <v>855</v>
      </c>
    </row>
    <row r="486" ht="11.25" customHeight="1">
      <c r="A486" s="63" t="s">
        <v>2257</v>
      </c>
      <c r="B486" s="63" t="s">
        <v>16</v>
      </c>
      <c r="C486" s="63" t="s">
        <v>2601</v>
      </c>
      <c r="D486" s="63" t="s">
        <v>2602</v>
      </c>
      <c r="E486" s="63" t="s">
        <v>2603</v>
      </c>
      <c r="F486" s="63" t="s">
        <v>2330</v>
      </c>
      <c r="G486" s="63" t="s">
        <v>2604</v>
      </c>
      <c r="H486" s="63" t="s">
        <v>28</v>
      </c>
      <c r="I486" s="63" t="s">
        <v>855</v>
      </c>
    </row>
    <row r="487" ht="11.25" customHeight="1">
      <c r="A487" s="63" t="s">
        <v>2257</v>
      </c>
      <c r="B487" s="63" t="s">
        <v>16</v>
      </c>
      <c r="C487" s="63" t="s">
        <v>2605</v>
      </c>
      <c r="D487" s="63" t="s">
        <v>2606</v>
      </c>
      <c r="E487" s="63" t="s">
        <v>2607</v>
      </c>
      <c r="F487" s="63" t="s">
        <v>2330</v>
      </c>
      <c r="G487" s="63" t="s">
        <v>28</v>
      </c>
      <c r="H487" s="63" t="s">
        <v>2608</v>
      </c>
      <c r="I487" s="63" t="s">
        <v>855</v>
      </c>
    </row>
    <row r="488" ht="11.25" customHeight="1">
      <c r="A488" s="63" t="s">
        <v>2257</v>
      </c>
      <c r="B488" s="63" t="s">
        <v>16</v>
      </c>
      <c r="C488" s="63" t="s">
        <v>3527</v>
      </c>
      <c r="D488" s="63" t="s">
        <v>3528</v>
      </c>
      <c r="E488" s="63" t="s">
        <v>3529</v>
      </c>
      <c r="F488" s="63" t="s">
        <v>2407</v>
      </c>
      <c r="G488" s="63" t="s">
        <v>28</v>
      </c>
      <c r="H488" s="63" t="s">
        <v>28</v>
      </c>
      <c r="I488" s="63" t="s">
        <v>855</v>
      </c>
    </row>
    <row r="489" ht="11.25" customHeight="1">
      <c r="A489" s="63" t="s">
        <v>2257</v>
      </c>
      <c r="B489" s="63" t="s">
        <v>16</v>
      </c>
      <c r="C489" s="63" t="s">
        <v>2609</v>
      </c>
      <c r="D489" s="63" t="s">
        <v>2610</v>
      </c>
      <c r="E489" s="63" t="s">
        <v>2611</v>
      </c>
      <c r="F489" s="63" t="s">
        <v>2403</v>
      </c>
      <c r="G489" s="63" t="s">
        <v>28</v>
      </c>
      <c r="H489" s="63" t="s">
        <v>28</v>
      </c>
      <c r="I489" s="63" t="s">
        <v>855</v>
      </c>
    </row>
    <row r="490" ht="11.25" customHeight="1">
      <c r="A490" s="63" t="s">
        <v>2257</v>
      </c>
      <c r="B490" s="63" t="s">
        <v>16</v>
      </c>
      <c r="C490" s="63" t="s">
        <v>2612</v>
      </c>
      <c r="D490" s="63" t="s">
        <v>2613</v>
      </c>
      <c r="E490" s="63" t="s">
        <v>2614</v>
      </c>
      <c r="F490" s="63" t="s">
        <v>2569</v>
      </c>
      <c r="G490" s="63" t="s">
        <v>28</v>
      </c>
      <c r="H490" s="63" t="s">
        <v>28</v>
      </c>
      <c r="I490" s="63" t="s">
        <v>855</v>
      </c>
    </row>
    <row r="491" ht="11.25" customHeight="1">
      <c r="A491" s="63" t="s">
        <v>2257</v>
      </c>
      <c r="B491" s="63" t="s">
        <v>16</v>
      </c>
      <c r="C491" s="63" t="s">
        <v>3530</v>
      </c>
      <c r="D491" s="63" t="s">
        <v>3531</v>
      </c>
      <c r="E491" s="63" t="s">
        <v>3532</v>
      </c>
      <c r="F491" s="63" t="s">
        <v>2391</v>
      </c>
      <c r="G491" s="63" t="s">
        <v>3533</v>
      </c>
      <c r="H491" s="63" t="s">
        <v>28</v>
      </c>
      <c r="I491" s="63" t="s">
        <v>855</v>
      </c>
    </row>
    <row r="492" ht="11.25" customHeight="1">
      <c r="A492" s="63" t="s">
        <v>2257</v>
      </c>
      <c r="B492" s="63" t="s">
        <v>16</v>
      </c>
      <c r="C492" s="63" t="s">
        <v>2622</v>
      </c>
      <c r="D492" s="63" t="s">
        <v>2623</v>
      </c>
      <c r="E492" s="63" t="s">
        <v>2624</v>
      </c>
      <c r="F492" s="63" t="s">
        <v>2569</v>
      </c>
      <c r="G492" s="63" t="s">
        <v>2625</v>
      </c>
      <c r="H492" s="63" t="s">
        <v>28</v>
      </c>
      <c r="I492" s="63" t="s">
        <v>855</v>
      </c>
    </row>
    <row r="493" ht="11.25" customHeight="1">
      <c r="A493" s="63" t="s">
        <v>2257</v>
      </c>
      <c r="B493" s="63" t="s">
        <v>16</v>
      </c>
      <c r="C493" s="63" t="s">
        <v>2626</v>
      </c>
      <c r="D493" s="63" t="s">
        <v>2627</v>
      </c>
      <c r="E493" s="63" t="s">
        <v>2628</v>
      </c>
      <c r="F493" s="63" t="s">
        <v>2403</v>
      </c>
      <c r="G493" s="63" t="s">
        <v>2629</v>
      </c>
      <c r="H493" s="63" t="s">
        <v>28</v>
      </c>
      <c r="I493" s="63" t="s">
        <v>855</v>
      </c>
    </row>
    <row r="494" ht="11.25" customHeight="1">
      <c r="A494" s="63" t="s">
        <v>2257</v>
      </c>
      <c r="B494" s="63" t="s">
        <v>16</v>
      </c>
      <c r="C494" s="63" t="s">
        <v>3534</v>
      </c>
      <c r="D494" s="63" t="s">
        <v>3535</v>
      </c>
      <c r="E494" s="63" t="s">
        <v>3536</v>
      </c>
      <c r="F494" s="63" t="s">
        <v>2330</v>
      </c>
      <c r="G494" s="63" t="s">
        <v>3537</v>
      </c>
      <c r="H494" s="63" t="s">
        <v>28</v>
      </c>
      <c r="I494" s="63" t="s">
        <v>855</v>
      </c>
    </row>
    <row r="495" ht="11.25" customHeight="1">
      <c r="A495" s="63" t="s">
        <v>2257</v>
      </c>
      <c r="B495" s="63" t="s">
        <v>16</v>
      </c>
      <c r="C495" s="63" t="s">
        <v>2630</v>
      </c>
      <c r="D495" s="63" t="s">
        <v>2631</v>
      </c>
      <c r="E495" s="63" t="s">
        <v>2632</v>
      </c>
      <c r="F495" s="63" t="s">
        <v>2330</v>
      </c>
      <c r="G495" s="63" t="s">
        <v>2633</v>
      </c>
      <c r="H495" s="63" t="s">
        <v>28</v>
      </c>
      <c r="I495" s="63" t="s">
        <v>855</v>
      </c>
    </row>
    <row r="496" ht="11.25" customHeight="1">
      <c r="A496" s="63" t="s">
        <v>2257</v>
      </c>
      <c r="B496" s="63" t="s">
        <v>16</v>
      </c>
      <c r="C496" s="63" t="s">
        <v>2634</v>
      </c>
      <c r="D496" s="63" t="s">
        <v>2635</v>
      </c>
      <c r="E496" s="63" t="s">
        <v>2636</v>
      </c>
      <c r="F496" s="63" t="s">
        <v>2330</v>
      </c>
      <c r="G496" s="63" t="s">
        <v>28</v>
      </c>
      <c r="H496" s="63" t="s">
        <v>28</v>
      </c>
      <c r="I496" s="63" t="s">
        <v>855</v>
      </c>
    </row>
    <row r="497" ht="11.25" customHeight="1">
      <c r="A497" s="63" t="s">
        <v>2257</v>
      </c>
      <c r="B497" s="63" t="s">
        <v>16</v>
      </c>
      <c r="C497" s="63" t="s">
        <v>2637</v>
      </c>
      <c r="D497" s="63" t="s">
        <v>2638</v>
      </c>
      <c r="E497" s="63" t="s">
        <v>2639</v>
      </c>
      <c r="F497" s="63" t="s">
        <v>2330</v>
      </c>
      <c r="G497" s="63" t="s">
        <v>2640</v>
      </c>
      <c r="H497" s="63" t="s">
        <v>2641</v>
      </c>
      <c r="I497" s="63" t="s">
        <v>855</v>
      </c>
    </row>
    <row r="498" ht="11.25" customHeight="1">
      <c r="A498" s="63" t="s">
        <v>2257</v>
      </c>
      <c r="B498" s="63" t="s">
        <v>16</v>
      </c>
      <c r="C498" s="63" t="s">
        <v>2642</v>
      </c>
      <c r="D498" s="63" t="s">
        <v>2643</v>
      </c>
      <c r="E498" s="63" t="s">
        <v>2644</v>
      </c>
      <c r="F498" s="63" t="s">
        <v>2569</v>
      </c>
      <c r="G498" s="63" t="s">
        <v>28</v>
      </c>
      <c r="H498" s="63" t="s">
        <v>28</v>
      </c>
      <c r="I498" s="63" t="s">
        <v>855</v>
      </c>
    </row>
    <row r="499" ht="11.25" customHeight="1">
      <c r="A499" s="63" t="s">
        <v>2257</v>
      </c>
      <c r="B499" s="63" t="s">
        <v>16</v>
      </c>
      <c r="C499" s="63" t="s">
        <v>2645</v>
      </c>
      <c r="D499" s="63" t="s">
        <v>2646</v>
      </c>
      <c r="E499" s="63" t="s">
        <v>2647</v>
      </c>
      <c r="F499" s="63" t="s">
        <v>2559</v>
      </c>
      <c r="G499" s="63" t="s">
        <v>2648</v>
      </c>
      <c r="H499" s="63" t="s">
        <v>28</v>
      </c>
      <c r="I499" s="63" t="s">
        <v>855</v>
      </c>
    </row>
    <row r="500" ht="11.25" customHeight="1">
      <c r="A500" s="63" t="s">
        <v>2257</v>
      </c>
      <c r="B500" s="63" t="s">
        <v>16</v>
      </c>
      <c r="C500" s="63" t="s">
        <v>2649</v>
      </c>
      <c r="D500" s="63" t="s">
        <v>2650</v>
      </c>
      <c r="E500" s="63" t="s">
        <v>2651</v>
      </c>
      <c r="F500" s="63" t="s">
        <v>2403</v>
      </c>
      <c r="G500" s="63" t="s">
        <v>2652</v>
      </c>
      <c r="H500" s="63" t="s">
        <v>28</v>
      </c>
      <c r="I500" s="63" t="s">
        <v>855</v>
      </c>
    </row>
    <row r="501" ht="11.25" customHeight="1">
      <c r="A501" s="63" t="s">
        <v>2257</v>
      </c>
      <c r="B501" s="63" t="s">
        <v>16</v>
      </c>
      <c r="C501" s="63" t="s">
        <v>2660</v>
      </c>
      <c r="D501" s="63" t="s">
        <v>2661</v>
      </c>
      <c r="E501" s="63" t="s">
        <v>2662</v>
      </c>
      <c r="F501" s="63" t="s">
        <v>2364</v>
      </c>
      <c r="G501" s="63" t="s">
        <v>2663</v>
      </c>
      <c r="H501" s="63" t="s">
        <v>28</v>
      </c>
      <c r="I501" s="63" t="s">
        <v>855</v>
      </c>
    </row>
    <row r="502" ht="11.25" customHeight="1">
      <c r="A502" s="63" t="s">
        <v>2257</v>
      </c>
      <c r="B502" s="63" t="s">
        <v>16</v>
      </c>
      <c r="C502" s="63" t="s">
        <v>2668</v>
      </c>
      <c r="D502" s="63" t="s">
        <v>2669</v>
      </c>
      <c r="E502" s="63" t="s">
        <v>2670</v>
      </c>
      <c r="F502" s="63" t="s">
        <v>2391</v>
      </c>
      <c r="G502" s="63" t="s">
        <v>28</v>
      </c>
      <c r="H502" s="63" t="s">
        <v>28</v>
      </c>
      <c r="I502" s="63" t="s">
        <v>855</v>
      </c>
    </row>
    <row r="503" ht="11.25" customHeight="1">
      <c r="A503" s="63" t="s">
        <v>2257</v>
      </c>
      <c r="B503" s="63" t="s">
        <v>16</v>
      </c>
      <c r="C503" s="63" t="s">
        <v>3538</v>
      </c>
      <c r="D503" s="63" t="s">
        <v>3539</v>
      </c>
      <c r="E503" s="63" t="s">
        <v>3540</v>
      </c>
      <c r="F503" s="63" t="s">
        <v>2403</v>
      </c>
      <c r="G503" s="63" t="s">
        <v>28</v>
      </c>
      <c r="H503" s="63" t="s">
        <v>28</v>
      </c>
      <c r="I503" s="63" t="s">
        <v>855</v>
      </c>
    </row>
    <row r="504" ht="11.25" customHeight="1">
      <c r="A504" s="63" t="s">
        <v>2257</v>
      </c>
      <c r="B504" s="63" t="s">
        <v>16</v>
      </c>
      <c r="C504" s="63" t="s">
        <v>2671</v>
      </c>
      <c r="D504" s="63" t="s">
        <v>2672</v>
      </c>
      <c r="E504" s="63" t="s">
        <v>2673</v>
      </c>
      <c r="F504" s="63" t="s">
        <v>2403</v>
      </c>
      <c r="G504" s="63" t="s">
        <v>28</v>
      </c>
      <c r="H504" s="63" t="s">
        <v>28</v>
      </c>
      <c r="I504" s="63" t="s">
        <v>855</v>
      </c>
    </row>
    <row r="505" ht="11.25" customHeight="1">
      <c r="A505" s="63" t="s">
        <v>2257</v>
      </c>
      <c r="B505" s="63" t="s">
        <v>16</v>
      </c>
      <c r="C505" s="63" t="s">
        <v>3541</v>
      </c>
      <c r="D505" s="63" t="s">
        <v>3542</v>
      </c>
      <c r="E505" s="63" t="s">
        <v>3543</v>
      </c>
      <c r="F505" s="63" t="s">
        <v>2391</v>
      </c>
      <c r="G505" s="63" t="s">
        <v>3544</v>
      </c>
      <c r="H505" s="63" t="s">
        <v>28</v>
      </c>
      <c r="I505" s="63" t="s">
        <v>855</v>
      </c>
    </row>
    <row r="506" ht="11.25" customHeight="1">
      <c r="A506" s="63" t="s">
        <v>2257</v>
      </c>
      <c r="B506" s="63" t="s">
        <v>16</v>
      </c>
      <c r="C506" s="63" t="s">
        <v>3545</v>
      </c>
      <c r="D506" s="63" t="s">
        <v>3546</v>
      </c>
      <c r="E506" s="63" t="s">
        <v>3547</v>
      </c>
      <c r="F506" s="63" t="s">
        <v>2354</v>
      </c>
      <c r="G506" s="63" t="s">
        <v>3548</v>
      </c>
      <c r="H506" s="63" t="s">
        <v>28</v>
      </c>
      <c r="I506" s="63" t="s">
        <v>855</v>
      </c>
    </row>
    <row r="507" ht="11.25" customHeight="1">
      <c r="A507" s="63" t="s">
        <v>2257</v>
      </c>
      <c r="B507" s="63" t="s">
        <v>16</v>
      </c>
      <c r="C507" s="63" t="s">
        <v>2674</v>
      </c>
      <c r="D507" s="63" t="s">
        <v>2675</v>
      </c>
      <c r="E507" s="63" t="s">
        <v>2676</v>
      </c>
      <c r="F507" s="63" t="s">
        <v>2298</v>
      </c>
      <c r="G507" s="63" t="s">
        <v>28</v>
      </c>
      <c r="H507" s="63" t="s">
        <v>28</v>
      </c>
      <c r="I507" s="63" t="s">
        <v>855</v>
      </c>
    </row>
    <row r="508" ht="11.25" customHeight="1">
      <c r="A508" s="63" t="s">
        <v>2257</v>
      </c>
      <c r="B508" s="63" t="s">
        <v>16</v>
      </c>
      <c r="C508" s="63" t="s">
        <v>2677</v>
      </c>
      <c r="D508" s="63" t="s">
        <v>2678</v>
      </c>
      <c r="E508" s="63" t="s">
        <v>2679</v>
      </c>
      <c r="F508" s="63" t="s">
        <v>2298</v>
      </c>
      <c r="G508" s="63" t="s">
        <v>2680</v>
      </c>
      <c r="H508" s="63" t="s">
        <v>28</v>
      </c>
      <c r="I508" s="63" t="s">
        <v>855</v>
      </c>
    </row>
    <row r="509" ht="11.25" customHeight="1">
      <c r="A509" s="63" t="s">
        <v>2257</v>
      </c>
      <c r="B509" s="63" t="s">
        <v>16</v>
      </c>
      <c r="C509" s="63" t="s">
        <v>3549</v>
      </c>
      <c r="D509" s="63" t="s">
        <v>3550</v>
      </c>
      <c r="E509" s="63" t="s">
        <v>3551</v>
      </c>
      <c r="F509" s="63" t="s">
        <v>2395</v>
      </c>
      <c r="G509" s="63" t="s">
        <v>28</v>
      </c>
      <c r="H509" s="63" t="s">
        <v>28</v>
      </c>
      <c r="I509" s="63" t="s">
        <v>855</v>
      </c>
    </row>
    <row r="510" ht="11.25" customHeight="1">
      <c r="A510" s="63" t="s">
        <v>2257</v>
      </c>
      <c r="B510" s="63" t="s">
        <v>16</v>
      </c>
      <c r="C510" s="63" t="s">
        <v>2681</v>
      </c>
      <c r="D510" s="63" t="s">
        <v>2682</v>
      </c>
      <c r="E510" s="63" t="s">
        <v>2683</v>
      </c>
      <c r="F510" s="63" t="s">
        <v>2407</v>
      </c>
      <c r="G510" s="63" t="s">
        <v>28</v>
      </c>
      <c r="H510" s="63" t="s">
        <v>28</v>
      </c>
      <c r="I510" s="63" t="s">
        <v>855</v>
      </c>
    </row>
    <row r="511" ht="11.25" customHeight="1">
      <c r="A511" s="63" t="s">
        <v>2257</v>
      </c>
      <c r="B511" s="63" t="s">
        <v>16</v>
      </c>
      <c r="C511" s="63" t="s">
        <v>3552</v>
      </c>
      <c r="D511" s="63" t="s">
        <v>3553</v>
      </c>
      <c r="E511" s="63" t="s">
        <v>3554</v>
      </c>
      <c r="F511" s="63" t="s">
        <v>2288</v>
      </c>
      <c r="G511" s="63" t="s">
        <v>28</v>
      </c>
      <c r="H511" s="63" t="s">
        <v>28</v>
      </c>
      <c r="I511" s="63" t="s">
        <v>855</v>
      </c>
    </row>
    <row r="512" ht="11.25" customHeight="1">
      <c r="A512" s="63" t="s">
        <v>2257</v>
      </c>
      <c r="B512" s="63" t="s">
        <v>16</v>
      </c>
      <c r="C512" s="63" t="s">
        <v>3555</v>
      </c>
      <c r="D512" s="63" t="s">
        <v>3556</v>
      </c>
      <c r="E512" s="63" t="s">
        <v>3557</v>
      </c>
      <c r="F512" s="63" t="s">
        <v>2364</v>
      </c>
      <c r="G512" s="63" t="s">
        <v>28</v>
      </c>
      <c r="H512" s="63" t="s">
        <v>28</v>
      </c>
      <c r="I512" s="63" t="s">
        <v>855</v>
      </c>
    </row>
    <row r="513" ht="11.25" customHeight="1">
      <c r="A513" s="63" t="s">
        <v>2257</v>
      </c>
      <c r="B513" s="63" t="s">
        <v>16</v>
      </c>
      <c r="C513" s="63" t="s">
        <v>2687</v>
      </c>
      <c r="D513" s="63" t="s">
        <v>2688</v>
      </c>
      <c r="E513" s="63" t="s">
        <v>2689</v>
      </c>
      <c r="F513" s="63" t="s">
        <v>2275</v>
      </c>
      <c r="G513" s="63" t="s">
        <v>28</v>
      </c>
      <c r="H513" s="63" t="s">
        <v>28</v>
      </c>
      <c r="I513" s="63" t="s">
        <v>855</v>
      </c>
    </row>
    <row r="514" ht="11.25" customHeight="1">
      <c r="A514" s="63" t="s">
        <v>2257</v>
      </c>
      <c r="B514" s="63" t="s">
        <v>16</v>
      </c>
      <c r="C514" s="63" t="s">
        <v>3558</v>
      </c>
      <c r="D514" s="63" t="s">
        <v>3559</v>
      </c>
      <c r="E514" s="63" t="s">
        <v>3560</v>
      </c>
      <c r="F514" s="63" t="s">
        <v>3561</v>
      </c>
      <c r="G514" s="63" t="s">
        <v>28</v>
      </c>
      <c r="H514" s="63" t="s">
        <v>28</v>
      </c>
      <c r="I514" s="63" t="s">
        <v>855</v>
      </c>
    </row>
    <row r="515" ht="11.25" customHeight="1">
      <c r="A515" s="63" t="s">
        <v>2257</v>
      </c>
      <c r="B515" s="63" t="s">
        <v>16</v>
      </c>
      <c r="C515" s="63" t="s">
        <v>2690</v>
      </c>
      <c r="D515" s="63" t="s">
        <v>2691</v>
      </c>
      <c r="E515" s="63" t="s">
        <v>2692</v>
      </c>
      <c r="F515" s="63" t="s">
        <v>2322</v>
      </c>
      <c r="G515" s="63" t="s">
        <v>28</v>
      </c>
      <c r="H515" s="63" t="s">
        <v>28</v>
      </c>
      <c r="I515" s="63" t="s">
        <v>855</v>
      </c>
    </row>
    <row r="516" ht="11.25" customHeight="1">
      <c r="A516" s="63" t="s">
        <v>2257</v>
      </c>
      <c r="B516" s="63" t="s">
        <v>16</v>
      </c>
      <c r="C516" s="63" t="s">
        <v>2693</v>
      </c>
      <c r="D516" s="63" t="s">
        <v>2694</v>
      </c>
      <c r="E516" s="63" t="s">
        <v>2695</v>
      </c>
      <c r="F516" s="63" t="s">
        <v>2696</v>
      </c>
      <c r="G516" s="63" t="s">
        <v>28</v>
      </c>
      <c r="H516" s="63" t="s">
        <v>28</v>
      </c>
      <c r="I516" s="63" t="s">
        <v>855</v>
      </c>
    </row>
    <row r="517" ht="11.25" customHeight="1">
      <c r="A517" s="63" t="s">
        <v>2257</v>
      </c>
      <c r="B517" s="63" t="s">
        <v>16</v>
      </c>
      <c r="C517" s="63" t="s">
        <v>2697</v>
      </c>
      <c r="D517" s="63" t="s">
        <v>2698</v>
      </c>
      <c r="E517" s="63" t="s">
        <v>2699</v>
      </c>
      <c r="F517" s="63" t="s">
        <v>2481</v>
      </c>
      <c r="G517" s="63" t="s">
        <v>28</v>
      </c>
      <c r="H517" s="63" t="s">
        <v>28</v>
      </c>
      <c r="I517" s="63" t="s">
        <v>855</v>
      </c>
    </row>
    <row r="518" ht="11.25" customHeight="1">
      <c r="A518" s="63" t="s">
        <v>2257</v>
      </c>
      <c r="B518" s="63" t="s">
        <v>16</v>
      </c>
      <c r="C518" s="63" t="s">
        <v>2700</v>
      </c>
      <c r="D518" s="63" t="s">
        <v>2701</v>
      </c>
      <c r="E518" s="63" t="s">
        <v>2702</v>
      </c>
      <c r="F518" s="63" t="s">
        <v>2293</v>
      </c>
      <c r="G518" s="63" t="s">
        <v>28</v>
      </c>
      <c r="H518" s="63" t="s">
        <v>28</v>
      </c>
      <c r="I518" s="63" t="s">
        <v>855</v>
      </c>
    </row>
    <row r="519" ht="11.25" customHeight="1">
      <c r="A519" s="63" t="s">
        <v>2257</v>
      </c>
      <c r="B519" s="63" t="s">
        <v>16</v>
      </c>
      <c r="C519" s="63" t="s">
        <v>2703</v>
      </c>
      <c r="D519" s="63" t="s">
        <v>2704</v>
      </c>
      <c r="E519" s="63" t="s">
        <v>2705</v>
      </c>
      <c r="F519" s="63" t="s">
        <v>2288</v>
      </c>
      <c r="G519" s="63" t="s">
        <v>28</v>
      </c>
      <c r="H519" s="63" t="s">
        <v>28</v>
      </c>
      <c r="I519" s="63" t="s">
        <v>855</v>
      </c>
    </row>
    <row r="520" ht="11.25" customHeight="1">
      <c r="A520" s="63" t="s">
        <v>2257</v>
      </c>
      <c r="B520" s="63" t="s">
        <v>16</v>
      </c>
      <c r="C520" s="63" t="s">
        <v>2706</v>
      </c>
      <c r="D520" s="63" t="s">
        <v>2707</v>
      </c>
      <c r="E520" s="63" t="s">
        <v>2708</v>
      </c>
      <c r="F520" s="63" t="s">
        <v>2569</v>
      </c>
      <c r="G520" s="63" t="s">
        <v>2709</v>
      </c>
      <c r="H520" s="63" t="s">
        <v>28</v>
      </c>
      <c r="I520" s="63" t="s">
        <v>855</v>
      </c>
    </row>
    <row r="521" ht="11.25" customHeight="1">
      <c r="A521" s="63" t="s">
        <v>2257</v>
      </c>
      <c r="B521" s="63" t="s">
        <v>16</v>
      </c>
      <c r="C521" s="63" t="s">
        <v>3562</v>
      </c>
      <c r="D521" s="63" t="s">
        <v>3563</v>
      </c>
      <c r="E521" s="63" t="s">
        <v>3564</v>
      </c>
      <c r="F521" s="63" t="s">
        <v>2403</v>
      </c>
      <c r="G521" s="63" t="s">
        <v>3243</v>
      </c>
      <c r="H521" s="63" t="s">
        <v>28</v>
      </c>
      <c r="I521" s="63" t="s">
        <v>855</v>
      </c>
    </row>
    <row r="522" ht="11.25" customHeight="1">
      <c r="A522" s="63" t="s">
        <v>2257</v>
      </c>
      <c r="B522" s="63" t="s">
        <v>16</v>
      </c>
      <c r="C522" s="63" t="s">
        <v>3565</v>
      </c>
      <c r="D522" s="63" t="s">
        <v>3566</v>
      </c>
      <c r="E522" s="63" t="s">
        <v>3567</v>
      </c>
      <c r="F522" s="63" t="s">
        <v>3568</v>
      </c>
      <c r="G522" s="63" t="s">
        <v>28</v>
      </c>
      <c r="H522" s="63" t="s">
        <v>28</v>
      </c>
      <c r="I522" s="63" t="s">
        <v>855</v>
      </c>
    </row>
    <row r="523" ht="11.25" customHeight="1">
      <c r="A523" s="63" t="s">
        <v>2257</v>
      </c>
      <c r="B523" s="63" t="s">
        <v>16</v>
      </c>
      <c r="C523" s="63" t="s">
        <v>3569</v>
      </c>
      <c r="D523" s="63" t="s">
        <v>3570</v>
      </c>
      <c r="E523" s="63" t="s">
        <v>3571</v>
      </c>
      <c r="F523" s="63" t="s">
        <v>2591</v>
      </c>
      <c r="G523" s="63" t="s">
        <v>28</v>
      </c>
      <c r="H523" s="63" t="s">
        <v>28</v>
      </c>
      <c r="I523" s="63" t="s">
        <v>855</v>
      </c>
    </row>
    <row r="524" ht="11.25" customHeight="1">
      <c r="A524" s="63" t="s">
        <v>2257</v>
      </c>
      <c r="B524" s="63" t="s">
        <v>16</v>
      </c>
      <c r="C524" s="63" t="s">
        <v>3572</v>
      </c>
      <c r="D524" s="63" t="s">
        <v>3573</v>
      </c>
      <c r="E524" s="63" t="s">
        <v>3574</v>
      </c>
      <c r="F524" s="63" t="s">
        <v>2569</v>
      </c>
      <c r="G524" s="63" t="s">
        <v>28</v>
      </c>
      <c r="H524" s="63" t="s">
        <v>28</v>
      </c>
      <c r="I524" s="63" t="s">
        <v>855</v>
      </c>
    </row>
    <row r="525" ht="11.25" customHeight="1">
      <c r="A525" s="63" t="s">
        <v>2257</v>
      </c>
      <c r="B525" s="63" t="s">
        <v>16</v>
      </c>
      <c r="C525" s="63" t="s">
        <v>3575</v>
      </c>
      <c r="D525" s="63" t="s">
        <v>3576</v>
      </c>
      <c r="E525" s="63" t="s">
        <v>3577</v>
      </c>
      <c r="F525" s="63" t="s">
        <v>2485</v>
      </c>
      <c r="G525" s="63" t="s">
        <v>28</v>
      </c>
      <c r="H525" s="63" t="s">
        <v>28</v>
      </c>
      <c r="I525" s="63" t="s">
        <v>855</v>
      </c>
    </row>
    <row r="526" ht="11.25" customHeight="1">
      <c r="A526" s="63" t="s">
        <v>2257</v>
      </c>
      <c r="B526" s="63" t="s">
        <v>16</v>
      </c>
      <c r="C526" s="63" t="s">
        <v>3578</v>
      </c>
      <c r="D526" s="63" t="s">
        <v>3579</v>
      </c>
      <c r="E526" s="63" t="s">
        <v>3580</v>
      </c>
      <c r="F526" s="63" t="s">
        <v>2330</v>
      </c>
      <c r="G526" s="63" t="s">
        <v>3581</v>
      </c>
      <c r="H526" s="63" t="s">
        <v>28</v>
      </c>
      <c r="I526" s="63" t="s">
        <v>855</v>
      </c>
    </row>
    <row r="527" ht="11.25" customHeight="1">
      <c r="A527" s="63" t="s">
        <v>2257</v>
      </c>
      <c r="B527" s="63" t="s">
        <v>16</v>
      </c>
      <c r="C527" s="63" t="s">
        <v>2737</v>
      </c>
      <c r="D527" s="63" t="s">
        <v>2738</v>
      </c>
      <c r="E527" s="63" t="s">
        <v>2739</v>
      </c>
      <c r="F527" s="63" t="s">
        <v>2391</v>
      </c>
      <c r="G527" s="63" t="s">
        <v>28</v>
      </c>
      <c r="H527" s="63" t="s">
        <v>28</v>
      </c>
      <c r="I527" s="63" t="s">
        <v>855</v>
      </c>
    </row>
    <row r="528" ht="11.25" customHeight="1">
      <c r="A528" s="63" t="s">
        <v>2257</v>
      </c>
      <c r="B528" s="63" t="s">
        <v>16</v>
      </c>
      <c r="C528" s="63" t="s">
        <v>3582</v>
      </c>
      <c r="D528" s="63" t="s">
        <v>3583</v>
      </c>
      <c r="E528" s="63" t="s">
        <v>3584</v>
      </c>
      <c r="F528" s="63" t="s">
        <v>2298</v>
      </c>
      <c r="G528" s="63" t="s">
        <v>28</v>
      </c>
      <c r="H528" s="63" t="s">
        <v>28</v>
      </c>
      <c r="I528" s="63" t="s">
        <v>855</v>
      </c>
    </row>
    <row r="529" ht="11.25" customHeight="1">
      <c r="A529" s="63" t="s">
        <v>2257</v>
      </c>
      <c r="B529" s="63" t="s">
        <v>16</v>
      </c>
      <c r="C529" s="63" t="s">
        <v>2744</v>
      </c>
      <c r="D529" s="63" t="s">
        <v>2745</v>
      </c>
      <c r="E529" s="63" t="s">
        <v>2746</v>
      </c>
      <c r="F529" s="63" t="s">
        <v>2364</v>
      </c>
      <c r="G529" s="63" t="s">
        <v>28</v>
      </c>
      <c r="H529" s="63" t="s">
        <v>28</v>
      </c>
      <c r="I529" s="63" t="s">
        <v>855</v>
      </c>
    </row>
    <row r="530" ht="11.25" customHeight="1">
      <c r="A530" s="63" t="s">
        <v>2257</v>
      </c>
      <c r="B530" s="63" t="s">
        <v>16</v>
      </c>
      <c r="C530" s="63" t="s">
        <v>3395</v>
      </c>
      <c r="D530" s="63" t="s">
        <v>3396</v>
      </c>
      <c r="E530" s="63" t="s">
        <v>3397</v>
      </c>
      <c r="F530" s="63" t="s">
        <v>2322</v>
      </c>
      <c r="G530" s="63" t="s">
        <v>3398</v>
      </c>
      <c r="H530" s="63" t="s">
        <v>28</v>
      </c>
      <c r="I530" s="63" t="s">
        <v>855</v>
      </c>
    </row>
    <row r="531" ht="11.25" customHeight="1">
      <c r="A531" s="63" t="s">
        <v>2257</v>
      </c>
      <c r="B531" s="63" t="s">
        <v>16</v>
      </c>
      <c r="C531" s="63" t="s">
        <v>2747</v>
      </c>
      <c r="D531" s="63" t="s">
        <v>2748</v>
      </c>
      <c r="E531" s="63" t="s">
        <v>2749</v>
      </c>
      <c r="F531" s="63" t="s">
        <v>2750</v>
      </c>
      <c r="G531" s="63" t="s">
        <v>2751</v>
      </c>
      <c r="H531" s="63" t="s">
        <v>28</v>
      </c>
      <c r="I531" s="63" t="s">
        <v>855</v>
      </c>
    </row>
    <row r="532" ht="11.25" customHeight="1">
      <c r="A532" s="63" t="s">
        <v>2257</v>
      </c>
      <c r="B532" s="63" t="s">
        <v>16</v>
      </c>
      <c r="C532" s="63" t="s">
        <v>3585</v>
      </c>
      <c r="D532" s="63" t="s">
        <v>3586</v>
      </c>
      <c r="E532" s="63" t="s">
        <v>3587</v>
      </c>
      <c r="F532" s="63" t="s">
        <v>2391</v>
      </c>
      <c r="G532" s="63" t="s">
        <v>3588</v>
      </c>
      <c r="H532" s="63" t="s">
        <v>28</v>
      </c>
      <c r="I532" s="63" t="s">
        <v>855</v>
      </c>
    </row>
    <row r="533" ht="11.25" customHeight="1">
      <c r="A533" s="63" t="s">
        <v>2257</v>
      </c>
      <c r="B533" s="63" t="s">
        <v>16</v>
      </c>
      <c r="C533" s="63" t="s">
        <v>3589</v>
      </c>
      <c r="D533" s="63" t="s">
        <v>3590</v>
      </c>
      <c r="E533" s="63" t="s">
        <v>3591</v>
      </c>
      <c r="F533" s="63" t="s">
        <v>2391</v>
      </c>
      <c r="G533" s="63" t="s">
        <v>3592</v>
      </c>
      <c r="H533" s="63" t="s">
        <v>28</v>
      </c>
      <c r="I533" s="63" t="s">
        <v>855</v>
      </c>
    </row>
    <row r="534" ht="11.25" customHeight="1">
      <c r="A534" s="63" t="s">
        <v>2257</v>
      </c>
      <c r="B534" s="63" t="s">
        <v>16</v>
      </c>
      <c r="C534" s="63" t="s">
        <v>3593</v>
      </c>
      <c r="D534" s="63" t="s">
        <v>3594</v>
      </c>
      <c r="E534" s="63" t="s">
        <v>3595</v>
      </c>
      <c r="F534" s="63" t="s">
        <v>2485</v>
      </c>
      <c r="G534" s="63" t="s">
        <v>3596</v>
      </c>
      <c r="H534" s="63" t="s">
        <v>28</v>
      </c>
      <c r="I534" s="63" t="s">
        <v>855</v>
      </c>
    </row>
    <row r="535" ht="11.25" customHeight="1">
      <c r="A535" s="63" t="s">
        <v>2257</v>
      </c>
      <c r="B535" s="63" t="s">
        <v>16</v>
      </c>
      <c r="C535" s="63" t="s">
        <v>3597</v>
      </c>
      <c r="D535" s="63" t="s">
        <v>3598</v>
      </c>
      <c r="E535" s="63" t="s">
        <v>3599</v>
      </c>
      <c r="F535" s="63" t="s">
        <v>2395</v>
      </c>
      <c r="G535" s="63" t="s">
        <v>28</v>
      </c>
      <c r="H535" s="63" t="s">
        <v>28</v>
      </c>
      <c r="I535" s="63" t="s">
        <v>855</v>
      </c>
    </row>
    <row r="536" ht="11.25" customHeight="1">
      <c r="A536" s="63" t="s">
        <v>2257</v>
      </c>
      <c r="B536" s="63" t="s">
        <v>16</v>
      </c>
      <c r="C536" s="63" t="s">
        <v>3600</v>
      </c>
      <c r="D536" s="63" t="s">
        <v>3601</v>
      </c>
      <c r="E536" s="63" t="s">
        <v>3602</v>
      </c>
      <c r="F536" s="63" t="s">
        <v>2298</v>
      </c>
      <c r="G536" s="63" t="s">
        <v>28</v>
      </c>
      <c r="H536" s="63" t="s">
        <v>28</v>
      </c>
      <c r="I536" s="63" t="s">
        <v>855</v>
      </c>
    </row>
    <row r="537" ht="11.25" customHeight="1">
      <c r="A537" s="63" t="s">
        <v>2257</v>
      </c>
      <c r="B537" s="63" t="s">
        <v>16</v>
      </c>
      <c r="C537" s="63" t="s">
        <v>3603</v>
      </c>
      <c r="D537" s="63" t="s">
        <v>3604</v>
      </c>
      <c r="E537" s="63" t="s">
        <v>3605</v>
      </c>
      <c r="F537" s="63" t="s">
        <v>2288</v>
      </c>
      <c r="G537" s="63" t="s">
        <v>28</v>
      </c>
      <c r="H537" s="63" t="s">
        <v>28</v>
      </c>
      <c r="I537" s="63" t="s">
        <v>855</v>
      </c>
    </row>
    <row r="538" ht="11.25" customHeight="1">
      <c r="A538" s="63" t="s">
        <v>2257</v>
      </c>
      <c r="B538" s="63" t="s">
        <v>16</v>
      </c>
      <c r="C538" s="63" t="s">
        <v>3606</v>
      </c>
      <c r="D538" s="63" t="s">
        <v>3607</v>
      </c>
      <c r="E538" s="63" t="s">
        <v>3608</v>
      </c>
      <c r="F538" s="63" t="s">
        <v>3609</v>
      </c>
      <c r="G538" s="63" t="s">
        <v>28</v>
      </c>
      <c r="H538" s="63" t="s">
        <v>28</v>
      </c>
      <c r="I538" s="63" t="s">
        <v>855</v>
      </c>
    </row>
    <row r="539" ht="11.25" customHeight="1">
      <c r="A539" s="63" t="s">
        <v>2257</v>
      </c>
      <c r="B539" s="63" t="s">
        <v>16</v>
      </c>
      <c r="C539" s="63" t="s">
        <v>2756</v>
      </c>
      <c r="D539" s="63" t="s">
        <v>2757</v>
      </c>
      <c r="E539" s="63" t="s">
        <v>2758</v>
      </c>
      <c r="F539" s="63" t="s">
        <v>2364</v>
      </c>
      <c r="G539" s="63" t="s">
        <v>28</v>
      </c>
      <c r="H539" s="63" t="s">
        <v>28</v>
      </c>
      <c r="I539" s="63" t="s">
        <v>855</v>
      </c>
    </row>
    <row r="540" ht="11.25" customHeight="1">
      <c r="A540" s="63" t="s">
        <v>2257</v>
      </c>
      <c r="B540" s="63" t="s">
        <v>16</v>
      </c>
      <c r="C540" s="63" t="s">
        <v>2763</v>
      </c>
      <c r="D540" s="63" t="s">
        <v>2764</v>
      </c>
      <c r="E540" s="63" t="s">
        <v>2765</v>
      </c>
      <c r="F540" s="63" t="s">
        <v>2322</v>
      </c>
      <c r="G540" s="63" t="s">
        <v>28</v>
      </c>
      <c r="H540" s="63" t="s">
        <v>28</v>
      </c>
      <c r="I540" s="63" t="s">
        <v>855</v>
      </c>
    </row>
    <row r="541" ht="11.25" customHeight="1">
      <c r="A541" s="63" t="s">
        <v>2257</v>
      </c>
      <c r="B541" s="63" t="s">
        <v>16</v>
      </c>
      <c r="C541" s="63" t="s">
        <v>2780</v>
      </c>
      <c r="D541" s="63" t="s">
        <v>2781</v>
      </c>
      <c r="E541" s="63" t="s">
        <v>2782</v>
      </c>
      <c r="F541" s="63" t="s">
        <v>2391</v>
      </c>
      <c r="G541" s="63" t="s">
        <v>28</v>
      </c>
      <c r="H541" s="63" t="s">
        <v>28</v>
      </c>
      <c r="I541" s="63" t="s">
        <v>855</v>
      </c>
    </row>
    <row r="542" ht="11.25" customHeight="1">
      <c r="A542" s="63" t="s">
        <v>2257</v>
      </c>
      <c r="B542" s="63" t="s">
        <v>16</v>
      </c>
      <c r="C542" s="63" t="s">
        <v>3610</v>
      </c>
      <c r="D542" s="63" t="s">
        <v>3611</v>
      </c>
      <c r="E542" s="63" t="s">
        <v>3612</v>
      </c>
      <c r="F542" s="63" t="s">
        <v>2298</v>
      </c>
      <c r="G542" s="63" t="s">
        <v>28</v>
      </c>
      <c r="H542" s="63" t="s">
        <v>28</v>
      </c>
      <c r="I542" s="63" t="s">
        <v>855</v>
      </c>
    </row>
    <row r="543" ht="11.25" customHeight="1">
      <c r="A543" s="63" t="s">
        <v>2257</v>
      </c>
      <c r="B543" s="63" t="s">
        <v>16</v>
      </c>
      <c r="C543" s="63" t="s">
        <v>3613</v>
      </c>
      <c r="D543" s="63" t="s">
        <v>3614</v>
      </c>
      <c r="E543" s="63" t="s">
        <v>3615</v>
      </c>
      <c r="F543" s="63" t="s">
        <v>2298</v>
      </c>
      <c r="G543" s="63" t="s">
        <v>3616</v>
      </c>
      <c r="H543" s="63" t="s">
        <v>28</v>
      </c>
      <c r="I543" s="63" t="s">
        <v>855</v>
      </c>
    </row>
    <row r="544" ht="11.25" customHeight="1">
      <c r="A544" s="63" t="s">
        <v>2257</v>
      </c>
      <c r="B544" s="63" t="s">
        <v>16</v>
      </c>
      <c r="C544" s="63" t="s">
        <v>3617</v>
      </c>
      <c r="D544" s="63" t="s">
        <v>3618</v>
      </c>
      <c r="E544" s="63" t="s">
        <v>3619</v>
      </c>
      <c r="F544" s="63" t="s">
        <v>2364</v>
      </c>
      <c r="G544" s="63" t="s">
        <v>28</v>
      </c>
      <c r="H544" s="63" t="s">
        <v>28</v>
      </c>
      <c r="I544" s="63" t="s">
        <v>855</v>
      </c>
    </row>
    <row r="545" ht="11.25" customHeight="1">
      <c r="A545" s="63" t="s">
        <v>2257</v>
      </c>
      <c r="B545" s="63" t="s">
        <v>16</v>
      </c>
      <c r="C545" s="63" t="s">
        <v>3620</v>
      </c>
      <c r="D545" s="63" t="s">
        <v>3621</v>
      </c>
      <c r="E545" s="63" t="s">
        <v>3622</v>
      </c>
      <c r="F545" s="63" t="s">
        <v>2275</v>
      </c>
      <c r="G545" s="63" t="s">
        <v>28</v>
      </c>
      <c r="H545" s="63" t="s">
        <v>28</v>
      </c>
      <c r="I545" s="63" t="s">
        <v>855</v>
      </c>
    </row>
    <row r="546" ht="11.25" customHeight="1">
      <c r="A546" s="63" t="s">
        <v>2257</v>
      </c>
      <c r="B546" s="63" t="s">
        <v>16</v>
      </c>
      <c r="C546" s="63" t="s">
        <v>2806</v>
      </c>
      <c r="D546" s="63" t="s">
        <v>2807</v>
      </c>
      <c r="E546" s="63" t="s">
        <v>2808</v>
      </c>
      <c r="F546" s="63" t="s">
        <v>2407</v>
      </c>
      <c r="G546" s="63" t="s">
        <v>28</v>
      </c>
      <c r="H546" s="63" t="s">
        <v>28</v>
      </c>
      <c r="I546" s="63" t="s">
        <v>855</v>
      </c>
    </row>
    <row r="547" ht="11.25" customHeight="1">
      <c r="A547" s="63" t="s">
        <v>2257</v>
      </c>
      <c r="B547" s="63" t="s">
        <v>16</v>
      </c>
      <c r="C547" s="63" t="s">
        <v>2812</v>
      </c>
      <c r="D547" s="63" t="s">
        <v>2813</v>
      </c>
      <c r="E547" s="63" t="s">
        <v>2814</v>
      </c>
      <c r="F547" s="63" t="s">
        <v>2407</v>
      </c>
      <c r="G547" s="63" t="s">
        <v>2815</v>
      </c>
      <c r="H547" s="63" t="s">
        <v>28</v>
      </c>
      <c r="I547" s="63" t="s">
        <v>855</v>
      </c>
    </row>
    <row r="548" ht="11.25" customHeight="1">
      <c r="A548" s="63" t="s">
        <v>2257</v>
      </c>
      <c r="B548" s="63" t="s">
        <v>16</v>
      </c>
      <c r="C548" s="63" t="s">
        <v>3623</v>
      </c>
      <c r="D548" s="63" t="s">
        <v>3624</v>
      </c>
      <c r="E548" s="63" t="s">
        <v>3625</v>
      </c>
      <c r="F548" s="63" t="s">
        <v>2569</v>
      </c>
      <c r="G548" s="63" t="s">
        <v>28</v>
      </c>
      <c r="H548" s="63" t="s">
        <v>28</v>
      </c>
      <c r="I548" s="63" t="s">
        <v>855</v>
      </c>
    </row>
    <row r="549" ht="11.25" customHeight="1">
      <c r="A549" s="63" t="s">
        <v>2257</v>
      </c>
      <c r="B549" s="63" t="s">
        <v>16</v>
      </c>
      <c r="C549" s="63" t="s">
        <v>2845</v>
      </c>
      <c r="D549" s="63" t="s">
        <v>2846</v>
      </c>
      <c r="E549" s="63" t="s">
        <v>2847</v>
      </c>
      <c r="F549" s="63" t="s">
        <v>2330</v>
      </c>
      <c r="G549" s="63" t="s">
        <v>28</v>
      </c>
      <c r="H549" s="63" t="s">
        <v>28</v>
      </c>
      <c r="I549" s="63" t="s">
        <v>855</v>
      </c>
    </row>
    <row r="550" ht="11.25" customHeight="1">
      <c r="A550" s="63" t="s">
        <v>2257</v>
      </c>
      <c r="B550" s="63" t="s">
        <v>16</v>
      </c>
      <c r="C550" s="63" t="s">
        <v>2848</v>
      </c>
      <c r="D550" s="63" t="s">
        <v>2849</v>
      </c>
      <c r="E550" s="63" t="s">
        <v>2850</v>
      </c>
      <c r="F550" s="63" t="s">
        <v>2293</v>
      </c>
      <c r="G550" s="63" t="s">
        <v>28</v>
      </c>
      <c r="H550" s="63" t="s">
        <v>28</v>
      </c>
      <c r="I550" s="63" t="s">
        <v>855</v>
      </c>
    </row>
    <row r="551" ht="11.25" customHeight="1">
      <c r="A551" s="63" t="s">
        <v>2257</v>
      </c>
      <c r="B551" s="63" t="s">
        <v>16</v>
      </c>
      <c r="C551" s="63" t="s">
        <v>2859</v>
      </c>
      <c r="D551" s="63" t="s">
        <v>2860</v>
      </c>
      <c r="E551" s="63" t="s">
        <v>2861</v>
      </c>
      <c r="F551" s="63" t="s">
        <v>2364</v>
      </c>
      <c r="G551" s="63" t="s">
        <v>2862</v>
      </c>
      <c r="H551" s="63" t="s">
        <v>28</v>
      </c>
      <c r="I551" s="63" t="s">
        <v>855</v>
      </c>
    </row>
    <row r="552" ht="11.25" customHeight="1">
      <c r="A552" s="63" t="s">
        <v>2257</v>
      </c>
      <c r="B552" s="63" t="s">
        <v>16</v>
      </c>
      <c r="C552" s="63" t="s">
        <v>3626</v>
      </c>
      <c r="D552" s="63" t="s">
        <v>3627</v>
      </c>
      <c r="E552" s="63" t="s">
        <v>3628</v>
      </c>
      <c r="F552" s="63" t="s">
        <v>2395</v>
      </c>
      <c r="G552" s="63" t="s">
        <v>3629</v>
      </c>
      <c r="H552" s="63" t="s">
        <v>28</v>
      </c>
      <c r="I552" s="63" t="s">
        <v>855</v>
      </c>
    </row>
    <row r="553" ht="11.25" customHeight="1">
      <c r="A553" s="63" t="s">
        <v>2257</v>
      </c>
      <c r="B553" s="63" t="s">
        <v>16</v>
      </c>
      <c r="C553" s="63" t="s">
        <v>3630</v>
      </c>
      <c r="D553" s="63" t="s">
        <v>3631</v>
      </c>
      <c r="E553" s="63" t="s">
        <v>3632</v>
      </c>
      <c r="F553" s="63" t="s">
        <v>2330</v>
      </c>
      <c r="G553" s="63" t="s">
        <v>3633</v>
      </c>
      <c r="H553" s="63" t="s">
        <v>28</v>
      </c>
      <c r="I553" s="63" t="s">
        <v>855</v>
      </c>
    </row>
    <row r="554" ht="11.25" customHeight="1">
      <c r="A554" s="63" t="s">
        <v>2257</v>
      </c>
      <c r="B554" s="63" t="s">
        <v>16</v>
      </c>
      <c r="C554" s="63" t="s">
        <v>3634</v>
      </c>
      <c r="D554" s="63" t="s">
        <v>3635</v>
      </c>
      <c r="E554" s="63" t="s">
        <v>3636</v>
      </c>
      <c r="F554" s="63" t="s">
        <v>2485</v>
      </c>
      <c r="G554" s="63" t="s">
        <v>28</v>
      </c>
      <c r="H554" s="63" t="s">
        <v>28</v>
      </c>
      <c r="I554" s="63" t="s">
        <v>855</v>
      </c>
    </row>
    <row r="555" ht="11.25" customHeight="1">
      <c r="A555" s="63" t="s">
        <v>2257</v>
      </c>
      <c r="B555" s="63" t="s">
        <v>16</v>
      </c>
      <c r="C555" s="63" t="s">
        <v>2877</v>
      </c>
      <c r="D555" s="63" t="s">
        <v>2878</v>
      </c>
      <c r="E555" s="63" t="s">
        <v>2879</v>
      </c>
      <c r="F555" s="63" t="s">
        <v>2306</v>
      </c>
      <c r="G555" s="63" t="s">
        <v>2880</v>
      </c>
      <c r="H555" s="63" t="s">
        <v>28</v>
      </c>
      <c r="I555" s="63" t="s">
        <v>855</v>
      </c>
    </row>
    <row r="556" ht="11.25" customHeight="1">
      <c r="A556" s="63" t="s">
        <v>2257</v>
      </c>
      <c r="B556" s="63" t="s">
        <v>16</v>
      </c>
      <c r="C556" s="63" t="s">
        <v>3637</v>
      </c>
      <c r="D556" s="63" t="s">
        <v>3638</v>
      </c>
      <c r="E556" s="63" t="s">
        <v>3639</v>
      </c>
      <c r="F556" s="63" t="s">
        <v>3640</v>
      </c>
      <c r="G556" s="63" t="s">
        <v>28</v>
      </c>
      <c r="H556" s="63" t="s">
        <v>28</v>
      </c>
      <c r="I556" s="63" t="s">
        <v>855</v>
      </c>
    </row>
    <row r="557" ht="11.25" customHeight="1">
      <c r="A557" s="63" t="s">
        <v>2257</v>
      </c>
      <c r="B557" s="63" t="s">
        <v>16</v>
      </c>
      <c r="C557" s="63" t="s">
        <v>2881</v>
      </c>
      <c r="D557" s="63" t="s">
        <v>2882</v>
      </c>
      <c r="E557" s="63" t="s">
        <v>2883</v>
      </c>
      <c r="F557" s="63" t="s">
        <v>2288</v>
      </c>
      <c r="G557" s="63" t="s">
        <v>28</v>
      </c>
      <c r="H557" s="63" t="s">
        <v>28</v>
      </c>
      <c r="I557" s="63" t="s">
        <v>855</v>
      </c>
    </row>
    <row r="558" ht="11.25" customHeight="1">
      <c r="A558" s="63" t="s">
        <v>2257</v>
      </c>
      <c r="B558" s="63" t="s">
        <v>16</v>
      </c>
      <c r="C558" s="63" t="s">
        <v>3641</v>
      </c>
      <c r="D558" s="63" t="s">
        <v>3642</v>
      </c>
      <c r="E558" s="63" t="s">
        <v>3643</v>
      </c>
      <c r="F558" s="63" t="s">
        <v>2288</v>
      </c>
      <c r="G558" s="63" t="s">
        <v>3644</v>
      </c>
      <c r="H558" s="63" t="s">
        <v>3645</v>
      </c>
      <c r="I558" s="63" t="s">
        <v>855</v>
      </c>
    </row>
    <row r="559" ht="11.25" customHeight="1">
      <c r="A559" s="63" t="s">
        <v>2257</v>
      </c>
      <c r="B559" s="63" t="s">
        <v>16</v>
      </c>
      <c r="C559" s="63" t="s">
        <v>2887</v>
      </c>
      <c r="D559" s="63" t="s">
        <v>2888</v>
      </c>
      <c r="E559" s="63" t="s">
        <v>2889</v>
      </c>
      <c r="F559" s="63" t="s">
        <v>2890</v>
      </c>
      <c r="G559" s="63" t="s">
        <v>28</v>
      </c>
      <c r="H559" s="63" t="s">
        <v>28</v>
      </c>
      <c r="I559" s="63" t="s">
        <v>855</v>
      </c>
    </row>
    <row r="560" ht="11.25" customHeight="1">
      <c r="A560" s="63" t="s">
        <v>2257</v>
      </c>
      <c r="B560" s="63" t="s">
        <v>16</v>
      </c>
      <c r="C560" s="63" t="s">
        <v>2895</v>
      </c>
      <c r="D560" s="63" t="s">
        <v>2896</v>
      </c>
      <c r="E560" s="63" t="s">
        <v>2897</v>
      </c>
      <c r="F560" s="63" t="s">
        <v>2407</v>
      </c>
      <c r="G560" s="63" t="s">
        <v>2898</v>
      </c>
      <c r="H560" s="63" t="s">
        <v>28</v>
      </c>
      <c r="I560" s="63" t="s">
        <v>855</v>
      </c>
    </row>
    <row r="561" ht="11.25" customHeight="1">
      <c r="A561" s="63" t="s">
        <v>2257</v>
      </c>
      <c r="B561" s="63" t="s">
        <v>16</v>
      </c>
      <c r="C561" s="63" t="s">
        <v>2899</v>
      </c>
      <c r="D561" s="63" t="s">
        <v>2900</v>
      </c>
      <c r="E561" s="63" t="s">
        <v>2901</v>
      </c>
      <c r="F561" s="63" t="s">
        <v>2306</v>
      </c>
      <c r="G561" s="63" t="s">
        <v>2902</v>
      </c>
      <c r="H561" s="63" t="s">
        <v>28</v>
      </c>
      <c r="I561" s="63" t="s">
        <v>855</v>
      </c>
    </row>
    <row r="562" ht="11.25" customHeight="1">
      <c r="A562" s="63" t="s">
        <v>2257</v>
      </c>
      <c r="B562" s="63" t="s">
        <v>16</v>
      </c>
      <c r="C562" s="63" t="s">
        <v>3646</v>
      </c>
      <c r="D562" s="63" t="s">
        <v>3647</v>
      </c>
      <c r="E562" s="63" t="s">
        <v>3648</v>
      </c>
      <c r="F562" s="63" t="s">
        <v>2591</v>
      </c>
      <c r="G562" s="63" t="s">
        <v>28</v>
      </c>
      <c r="H562" s="63" t="s">
        <v>28</v>
      </c>
      <c r="I562" s="63" t="s">
        <v>855</v>
      </c>
    </row>
    <row r="563" ht="11.25" customHeight="1">
      <c r="A563" s="63" t="s">
        <v>2257</v>
      </c>
      <c r="B563" s="63" t="s">
        <v>16</v>
      </c>
      <c r="C563" s="63" t="s">
        <v>2944</v>
      </c>
      <c r="D563" s="63" t="s">
        <v>2945</v>
      </c>
      <c r="E563" s="63" t="s">
        <v>2946</v>
      </c>
      <c r="F563" s="63" t="s">
        <v>2288</v>
      </c>
      <c r="G563" s="63" t="s">
        <v>28</v>
      </c>
      <c r="H563" s="63" t="s">
        <v>28</v>
      </c>
      <c r="I563" s="63" t="s">
        <v>855</v>
      </c>
    </row>
    <row r="564" ht="11.25" customHeight="1">
      <c r="A564" s="63" t="s">
        <v>2257</v>
      </c>
      <c r="B564" s="63" t="s">
        <v>16</v>
      </c>
      <c r="C564" s="63" t="s">
        <v>3649</v>
      </c>
      <c r="D564" s="63" t="s">
        <v>3650</v>
      </c>
      <c r="E564" s="63" t="s">
        <v>3651</v>
      </c>
      <c r="F564" s="63" t="s">
        <v>3652</v>
      </c>
      <c r="G564" s="63" t="s">
        <v>28</v>
      </c>
      <c r="H564" s="63" t="s">
        <v>28</v>
      </c>
      <c r="I564" s="63" t="s">
        <v>855</v>
      </c>
    </row>
    <row r="565" ht="11.25" customHeight="1">
      <c r="A565" s="63" t="s">
        <v>2257</v>
      </c>
      <c r="B565" s="63" t="s">
        <v>16</v>
      </c>
      <c r="C565" s="63" t="s">
        <v>3653</v>
      </c>
      <c r="D565" s="63" t="s">
        <v>3654</v>
      </c>
      <c r="E565" s="63" t="s">
        <v>3655</v>
      </c>
      <c r="F565" s="63" t="s">
        <v>2403</v>
      </c>
      <c r="G565" s="63" t="s">
        <v>3656</v>
      </c>
      <c r="H565" s="63" t="s">
        <v>28</v>
      </c>
      <c r="I565" s="63" t="s">
        <v>855</v>
      </c>
    </row>
    <row r="566" ht="11.25" customHeight="1">
      <c r="A566" s="63" t="s">
        <v>2257</v>
      </c>
      <c r="B566" s="63" t="s">
        <v>16</v>
      </c>
      <c r="C566" s="63" t="s">
        <v>2980</v>
      </c>
      <c r="D566" s="63" t="s">
        <v>2981</v>
      </c>
      <c r="E566" s="63" t="s">
        <v>2982</v>
      </c>
      <c r="F566" s="63" t="s">
        <v>2306</v>
      </c>
      <c r="G566" s="63" t="s">
        <v>2983</v>
      </c>
      <c r="H566" s="63" t="s">
        <v>28</v>
      </c>
      <c r="I566" s="63" t="s">
        <v>855</v>
      </c>
    </row>
    <row r="567" ht="11.25" customHeight="1">
      <c r="A567" s="63" t="s">
        <v>2257</v>
      </c>
      <c r="B567" s="63" t="s">
        <v>16</v>
      </c>
      <c r="C567" s="63" t="s">
        <v>3657</v>
      </c>
      <c r="D567" s="63" t="s">
        <v>2988</v>
      </c>
      <c r="E567" s="63" t="s">
        <v>3658</v>
      </c>
      <c r="F567" s="63" t="s">
        <v>2485</v>
      </c>
      <c r="G567" s="63" t="s">
        <v>28</v>
      </c>
      <c r="H567" s="63" t="s">
        <v>28</v>
      </c>
      <c r="I567" s="63" t="s">
        <v>855</v>
      </c>
    </row>
    <row r="568" ht="11.25" customHeight="1">
      <c r="A568" s="63" t="s">
        <v>2257</v>
      </c>
      <c r="B568" s="63" t="s">
        <v>16</v>
      </c>
      <c r="C568" s="63" t="s">
        <v>3659</v>
      </c>
      <c r="D568" s="63" t="s">
        <v>3660</v>
      </c>
      <c r="E568" s="63" t="s">
        <v>3661</v>
      </c>
      <c r="F568" s="63" t="s">
        <v>2354</v>
      </c>
      <c r="G568" s="63" t="s">
        <v>28</v>
      </c>
      <c r="H568" s="63" t="s">
        <v>28</v>
      </c>
      <c r="I568" s="63" t="s">
        <v>855</v>
      </c>
    </row>
    <row r="569" ht="11.25" customHeight="1">
      <c r="A569" s="63" t="s">
        <v>2257</v>
      </c>
      <c r="B569" s="63" t="s">
        <v>16</v>
      </c>
      <c r="C569" s="63" t="s">
        <v>3017</v>
      </c>
      <c r="D569" s="63" t="s">
        <v>3018</v>
      </c>
      <c r="E569" s="63" t="s">
        <v>3019</v>
      </c>
      <c r="F569" s="63" t="s">
        <v>2403</v>
      </c>
      <c r="G569" s="63" t="s">
        <v>28</v>
      </c>
      <c r="H569" s="63" t="s">
        <v>28</v>
      </c>
      <c r="I569" s="63" t="s">
        <v>855</v>
      </c>
    </row>
    <row r="570" ht="11.25" customHeight="1">
      <c r="A570" s="63" t="s">
        <v>2257</v>
      </c>
      <c r="B570" s="63" t="s">
        <v>16</v>
      </c>
      <c r="C570" s="63" t="s">
        <v>3662</v>
      </c>
      <c r="D570" s="63" t="s">
        <v>3663</v>
      </c>
      <c r="E570" s="63" t="s">
        <v>3664</v>
      </c>
      <c r="F570" s="63" t="s">
        <v>2275</v>
      </c>
      <c r="G570" s="63" t="s">
        <v>3665</v>
      </c>
      <c r="H570" s="63" t="s">
        <v>28</v>
      </c>
      <c r="I570" s="63" t="s">
        <v>855</v>
      </c>
    </row>
    <row r="571" ht="11.25" customHeight="1">
      <c r="A571" s="63" t="s">
        <v>2257</v>
      </c>
      <c r="B571" s="63" t="s">
        <v>16</v>
      </c>
      <c r="C571" s="63" t="s">
        <v>3666</v>
      </c>
      <c r="D571" s="63" t="s">
        <v>3667</v>
      </c>
      <c r="E571" s="63" t="s">
        <v>3668</v>
      </c>
      <c r="F571" s="63" t="s">
        <v>2591</v>
      </c>
      <c r="G571" s="63" t="s">
        <v>3669</v>
      </c>
      <c r="H571" s="63" t="s">
        <v>28</v>
      </c>
      <c r="I571" s="63" t="s">
        <v>855</v>
      </c>
    </row>
    <row r="572" ht="11.25" customHeight="1">
      <c r="A572" s="63" t="s">
        <v>2257</v>
      </c>
      <c r="B572" s="63" t="s">
        <v>16</v>
      </c>
      <c r="C572" s="63" t="s">
        <v>3670</v>
      </c>
      <c r="D572" s="63" t="s">
        <v>3671</v>
      </c>
      <c r="E572" s="63" t="s">
        <v>3672</v>
      </c>
      <c r="F572" s="63" t="s">
        <v>2298</v>
      </c>
      <c r="G572" s="63" t="s">
        <v>28</v>
      </c>
      <c r="H572" s="63" t="s">
        <v>28</v>
      </c>
      <c r="I572" s="63" t="s">
        <v>855</v>
      </c>
    </row>
    <row r="573" ht="11.25" customHeight="1">
      <c r="A573" s="63" t="s">
        <v>2257</v>
      </c>
      <c r="B573" s="63" t="s">
        <v>16</v>
      </c>
      <c r="C573" s="63" t="s">
        <v>3034</v>
      </c>
      <c r="D573" s="63" t="s">
        <v>3035</v>
      </c>
      <c r="E573" s="63" t="s">
        <v>3036</v>
      </c>
      <c r="F573" s="63" t="s">
        <v>2322</v>
      </c>
      <c r="G573" s="63" t="s">
        <v>3037</v>
      </c>
      <c r="H573" s="63" t="s">
        <v>28</v>
      </c>
      <c r="I573" s="63" t="s">
        <v>855</v>
      </c>
    </row>
    <row r="574" ht="11.25" customHeight="1">
      <c r="A574" s="63" t="s">
        <v>2257</v>
      </c>
      <c r="B574" s="63" t="s">
        <v>16</v>
      </c>
      <c r="C574" s="63" t="s">
        <v>3038</v>
      </c>
      <c r="D574" s="63" t="s">
        <v>3039</v>
      </c>
      <c r="E574" s="63" t="s">
        <v>3040</v>
      </c>
      <c r="F574" s="63" t="s">
        <v>2275</v>
      </c>
      <c r="G574" s="63" t="s">
        <v>28</v>
      </c>
      <c r="H574" s="63" t="s">
        <v>28</v>
      </c>
      <c r="I574" s="63" t="s">
        <v>855</v>
      </c>
    </row>
    <row r="575" ht="11.25" customHeight="1">
      <c r="A575" s="63" t="s">
        <v>2257</v>
      </c>
      <c r="B575" s="63" t="s">
        <v>16</v>
      </c>
      <c r="C575" s="63" t="s">
        <v>3041</v>
      </c>
      <c r="D575" s="63" t="s">
        <v>3042</v>
      </c>
      <c r="E575" s="63" t="s">
        <v>3043</v>
      </c>
      <c r="F575" s="63" t="s">
        <v>2559</v>
      </c>
      <c r="G575" s="63" t="s">
        <v>28</v>
      </c>
      <c r="H575" s="63" t="s">
        <v>28</v>
      </c>
      <c r="I575" s="63" t="s">
        <v>855</v>
      </c>
    </row>
    <row r="576" ht="11.25" customHeight="1">
      <c r="A576" s="63" t="s">
        <v>2257</v>
      </c>
      <c r="B576" s="63" t="s">
        <v>16</v>
      </c>
      <c r="C576" s="63" t="s">
        <v>3047</v>
      </c>
      <c r="D576" s="63" t="s">
        <v>3048</v>
      </c>
      <c r="E576" s="63" t="s">
        <v>3049</v>
      </c>
      <c r="F576" s="63" t="s">
        <v>2288</v>
      </c>
      <c r="G576" s="63" t="s">
        <v>28</v>
      </c>
      <c r="H576" s="63" t="s">
        <v>28</v>
      </c>
      <c r="I576" s="63" t="s">
        <v>855</v>
      </c>
    </row>
    <row r="577" ht="11.25" customHeight="1">
      <c r="A577" s="63" t="s">
        <v>2257</v>
      </c>
      <c r="B577" s="63" t="s">
        <v>16</v>
      </c>
      <c r="C577" s="63" t="s">
        <v>3054</v>
      </c>
      <c r="D577" s="63" t="s">
        <v>3055</v>
      </c>
      <c r="E577" s="63" t="s">
        <v>3056</v>
      </c>
      <c r="F577" s="63" t="s">
        <v>2743</v>
      </c>
      <c r="G577" s="63" t="s">
        <v>28</v>
      </c>
      <c r="H577" s="63" t="s">
        <v>28</v>
      </c>
      <c r="I577" s="63" t="s">
        <v>855</v>
      </c>
    </row>
    <row r="578" ht="11.25" customHeight="1">
      <c r="A578" s="63" t="s">
        <v>2257</v>
      </c>
      <c r="B578" s="63" t="s">
        <v>16</v>
      </c>
      <c r="C578" s="63" t="s">
        <v>3066</v>
      </c>
      <c r="D578" s="63" t="s">
        <v>3067</v>
      </c>
      <c r="E578" s="63" t="s">
        <v>3068</v>
      </c>
      <c r="F578" s="63" t="s">
        <v>2298</v>
      </c>
      <c r="G578" s="63" t="s">
        <v>3069</v>
      </c>
      <c r="H578" s="63" t="s">
        <v>28</v>
      </c>
      <c r="I578" s="63" t="s">
        <v>855</v>
      </c>
    </row>
    <row r="579" ht="11.25" customHeight="1">
      <c r="A579" s="63" t="s">
        <v>2257</v>
      </c>
      <c r="B579" s="63" t="s">
        <v>16</v>
      </c>
      <c r="C579" s="63" t="s">
        <v>3673</v>
      </c>
      <c r="D579" s="63" t="s">
        <v>3127</v>
      </c>
      <c r="E579" s="63" t="s">
        <v>3674</v>
      </c>
      <c r="F579" s="63" t="s">
        <v>2591</v>
      </c>
      <c r="G579" s="63" t="s">
        <v>28</v>
      </c>
      <c r="H579" s="63" t="s">
        <v>28</v>
      </c>
      <c r="I579" s="63" t="s">
        <v>855</v>
      </c>
    </row>
    <row r="580" ht="11.25" customHeight="1">
      <c r="A580" s="63" t="s">
        <v>2257</v>
      </c>
      <c r="B580" s="63" t="s">
        <v>16</v>
      </c>
      <c r="C580" s="63" t="s">
        <v>3152</v>
      </c>
      <c r="D580" s="63" t="s">
        <v>3153</v>
      </c>
      <c r="E580" s="63" t="s">
        <v>3154</v>
      </c>
      <c r="F580" s="63" t="s">
        <v>2354</v>
      </c>
      <c r="G580" s="63" t="s">
        <v>3155</v>
      </c>
      <c r="H580" s="63" t="s">
        <v>28</v>
      </c>
      <c r="I580" s="63" t="s">
        <v>855</v>
      </c>
    </row>
    <row r="581" ht="11.25" customHeight="1">
      <c r="A581" s="63" t="s">
        <v>2257</v>
      </c>
      <c r="B581" s="63" t="s">
        <v>16</v>
      </c>
      <c r="C581" s="63" t="s">
        <v>3156</v>
      </c>
      <c r="D581" s="63" t="s">
        <v>3157</v>
      </c>
      <c r="E581" s="63" t="s">
        <v>3158</v>
      </c>
      <c r="F581" s="63" t="s">
        <v>2364</v>
      </c>
      <c r="G581" s="63" t="s">
        <v>3159</v>
      </c>
      <c r="H581" s="63" t="s">
        <v>28</v>
      </c>
      <c r="I581" s="63" t="s">
        <v>855</v>
      </c>
    </row>
    <row r="582" ht="11.25" customHeight="1">
      <c r="A582" s="63" t="s">
        <v>2257</v>
      </c>
      <c r="B582" s="63" t="s">
        <v>16</v>
      </c>
      <c r="C582" s="63" t="s">
        <v>3675</v>
      </c>
      <c r="D582" s="63" t="s">
        <v>3676</v>
      </c>
      <c r="E582" s="63" t="s">
        <v>3677</v>
      </c>
      <c r="F582" s="63" t="s">
        <v>2518</v>
      </c>
      <c r="G582" s="63" t="s">
        <v>3678</v>
      </c>
      <c r="H582" s="63" t="s">
        <v>28</v>
      </c>
      <c r="I582" s="63" t="s">
        <v>855</v>
      </c>
    </row>
    <row r="583" ht="11.25" customHeight="1">
      <c r="A583" s="63" t="s">
        <v>2257</v>
      </c>
      <c r="B583" s="63" t="s">
        <v>16</v>
      </c>
      <c r="C583" s="63" t="s">
        <v>3679</v>
      </c>
      <c r="D583" s="63" t="s">
        <v>3680</v>
      </c>
      <c r="E583" s="63" t="s">
        <v>3681</v>
      </c>
      <c r="F583" s="63" t="s">
        <v>2391</v>
      </c>
      <c r="G583" s="63" t="s">
        <v>28</v>
      </c>
      <c r="H583" s="63" t="s">
        <v>28</v>
      </c>
      <c r="I583" s="63" t="s">
        <v>855</v>
      </c>
    </row>
    <row r="584" ht="11.25" customHeight="1">
      <c r="A584" s="63" t="s">
        <v>2257</v>
      </c>
      <c r="B584" s="63" t="s">
        <v>16</v>
      </c>
      <c r="C584" s="63" t="s">
        <v>3682</v>
      </c>
      <c r="D584" s="63" t="s">
        <v>3683</v>
      </c>
      <c r="E584" s="63" t="s">
        <v>3684</v>
      </c>
      <c r="F584" s="63" t="s">
        <v>2330</v>
      </c>
      <c r="G584" s="63" t="s">
        <v>28</v>
      </c>
      <c r="H584" s="63" t="s">
        <v>28</v>
      </c>
      <c r="I584" s="63" t="s">
        <v>855</v>
      </c>
    </row>
    <row r="585" ht="11.25" customHeight="1">
      <c r="A585" s="63" t="s">
        <v>2257</v>
      </c>
      <c r="B585" s="63" t="s">
        <v>16</v>
      </c>
      <c r="C585" s="63" t="s">
        <v>3685</v>
      </c>
      <c r="D585" s="63" t="s">
        <v>3686</v>
      </c>
      <c r="E585" s="63" t="s">
        <v>3687</v>
      </c>
      <c r="F585" s="63" t="s">
        <v>2306</v>
      </c>
      <c r="G585" s="63" t="s">
        <v>28</v>
      </c>
      <c r="H585" s="63" t="s">
        <v>28</v>
      </c>
      <c r="I585" s="63" t="s">
        <v>855</v>
      </c>
    </row>
    <row r="586" ht="11.25" customHeight="1">
      <c r="A586" s="63" t="s">
        <v>2257</v>
      </c>
      <c r="B586" s="63" t="s">
        <v>16</v>
      </c>
      <c r="C586" s="63" t="s">
        <v>3163</v>
      </c>
      <c r="D586" s="63" t="s">
        <v>3164</v>
      </c>
      <c r="E586" s="63" t="s">
        <v>3165</v>
      </c>
      <c r="F586" s="63" t="s">
        <v>2407</v>
      </c>
      <c r="G586" s="63" t="s">
        <v>28</v>
      </c>
      <c r="H586" s="63" t="s">
        <v>28</v>
      </c>
      <c r="I586" s="63" t="s">
        <v>855</v>
      </c>
    </row>
    <row r="587" ht="11.25" customHeight="1">
      <c r="A587" s="63" t="s">
        <v>2257</v>
      </c>
      <c r="B587" s="63" t="s">
        <v>16</v>
      </c>
      <c r="C587" s="63" t="s">
        <v>3166</v>
      </c>
      <c r="D587" s="63" t="s">
        <v>3167</v>
      </c>
      <c r="E587" s="63" t="s">
        <v>3168</v>
      </c>
      <c r="F587" s="63" t="s">
        <v>2288</v>
      </c>
      <c r="G587" s="63" t="s">
        <v>3169</v>
      </c>
      <c r="H587" s="63" t="s">
        <v>28</v>
      </c>
      <c r="I587" s="63" t="s">
        <v>855</v>
      </c>
    </row>
    <row r="588" ht="11.25" customHeight="1">
      <c r="A588" s="63" t="s">
        <v>2257</v>
      </c>
      <c r="B588" s="63" t="s">
        <v>16</v>
      </c>
      <c r="C588" s="63" t="s">
        <v>3688</v>
      </c>
      <c r="D588" s="63" t="s">
        <v>3689</v>
      </c>
      <c r="E588" s="63" t="s">
        <v>3690</v>
      </c>
      <c r="F588" s="63" t="s">
        <v>2330</v>
      </c>
      <c r="G588" s="63" t="s">
        <v>3691</v>
      </c>
      <c r="H588" s="63" t="s">
        <v>28</v>
      </c>
      <c r="I588" s="63" t="s">
        <v>855</v>
      </c>
    </row>
    <row r="589" ht="11.25" customHeight="1">
      <c r="A589" s="63" t="s">
        <v>2257</v>
      </c>
      <c r="B589" s="63" t="s">
        <v>16</v>
      </c>
      <c r="C589" s="63" t="s">
        <v>3692</v>
      </c>
      <c r="D589" s="63" t="s">
        <v>3693</v>
      </c>
      <c r="E589" s="63" t="s">
        <v>3694</v>
      </c>
      <c r="F589" s="63" t="s">
        <v>2293</v>
      </c>
      <c r="G589" s="63" t="s">
        <v>3695</v>
      </c>
      <c r="H589" s="63" t="s">
        <v>3696</v>
      </c>
      <c r="I589" s="63" t="s">
        <v>855</v>
      </c>
    </row>
    <row r="590" ht="11.25" customHeight="1">
      <c r="A590" s="63" t="s">
        <v>2257</v>
      </c>
      <c r="B590" s="63" t="s">
        <v>16</v>
      </c>
      <c r="C590" s="63" t="s">
        <v>3188</v>
      </c>
      <c r="D590" s="63" t="s">
        <v>3189</v>
      </c>
      <c r="E590" s="63" t="s">
        <v>3190</v>
      </c>
      <c r="F590" s="63" t="s">
        <v>2354</v>
      </c>
      <c r="G590" s="63" t="s">
        <v>3191</v>
      </c>
      <c r="H590" s="63" t="s">
        <v>28</v>
      </c>
      <c r="I590" s="63" t="s">
        <v>855</v>
      </c>
    </row>
    <row r="591" ht="11.25" customHeight="1">
      <c r="A591" s="63" t="s">
        <v>2257</v>
      </c>
      <c r="B591" s="63" t="s">
        <v>16</v>
      </c>
      <c r="C591" s="63" t="s">
        <v>3697</v>
      </c>
      <c r="D591" s="63" t="s">
        <v>3698</v>
      </c>
      <c r="E591" s="63" t="s">
        <v>3699</v>
      </c>
      <c r="F591" s="63" t="s">
        <v>3700</v>
      </c>
      <c r="G591" s="63" t="s">
        <v>28</v>
      </c>
      <c r="H591" s="63" t="s">
        <v>28</v>
      </c>
      <c r="I591" s="63" t="s">
        <v>855</v>
      </c>
    </row>
    <row r="592" ht="11.25" customHeight="1">
      <c r="A592" s="63" t="s">
        <v>2257</v>
      </c>
      <c r="B592" s="63" t="s">
        <v>16</v>
      </c>
      <c r="C592" s="63" t="s">
        <v>3192</v>
      </c>
      <c r="D592" s="63" t="s">
        <v>3193</v>
      </c>
      <c r="E592" s="63" t="s">
        <v>3194</v>
      </c>
      <c r="F592" s="63" t="s">
        <v>2391</v>
      </c>
      <c r="G592" s="63" t="s">
        <v>3195</v>
      </c>
      <c r="H592" s="63" t="s">
        <v>28</v>
      </c>
      <c r="I592" s="63" t="s">
        <v>855</v>
      </c>
    </row>
    <row r="593" ht="11.25" customHeight="1">
      <c r="A593" s="63" t="s">
        <v>2257</v>
      </c>
      <c r="B593" s="63" t="s">
        <v>16</v>
      </c>
      <c r="C593" s="63" t="s">
        <v>3701</v>
      </c>
      <c r="D593" s="63" t="s">
        <v>3702</v>
      </c>
      <c r="E593" s="63" t="s">
        <v>3703</v>
      </c>
      <c r="F593" s="63" t="s">
        <v>2743</v>
      </c>
      <c r="G593" s="63" t="s">
        <v>3704</v>
      </c>
      <c r="H593" s="63" t="s">
        <v>28</v>
      </c>
      <c r="I593" s="63" t="s">
        <v>855</v>
      </c>
    </row>
    <row r="594" ht="11.25" customHeight="1">
      <c r="A594" s="63" t="s">
        <v>2257</v>
      </c>
      <c r="B594" s="63" t="s">
        <v>16</v>
      </c>
      <c r="C594" s="63" t="s">
        <v>3705</v>
      </c>
      <c r="D594" s="63" t="s">
        <v>3706</v>
      </c>
      <c r="E594" s="63" t="s">
        <v>3707</v>
      </c>
      <c r="F594" s="63" t="s">
        <v>2298</v>
      </c>
      <c r="G594" s="63" t="s">
        <v>28</v>
      </c>
      <c r="H594" s="63" t="s">
        <v>28</v>
      </c>
      <c r="I594" s="63" t="s">
        <v>855</v>
      </c>
    </row>
    <row r="595" ht="11.25" customHeight="1">
      <c r="A595" s="63" t="s">
        <v>2257</v>
      </c>
      <c r="B595" s="63" t="s">
        <v>16</v>
      </c>
      <c r="C595" s="63" t="s">
        <v>3708</v>
      </c>
      <c r="D595" s="63" t="s">
        <v>3709</v>
      </c>
      <c r="E595" s="63" t="s">
        <v>3710</v>
      </c>
      <c r="F595" s="63" t="s">
        <v>2569</v>
      </c>
      <c r="G595" s="63" t="s">
        <v>3711</v>
      </c>
      <c r="H595" s="63" t="s">
        <v>28</v>
      </c>
      <c r="I595" s="63" t="s">
        <v>855</v>
      </c>
    </row>
    <row r="596" ht="11.25" customHeight="1">
      <c r="A596" s="63" t="s">
        <v>2257</v>
      </c>
      <c r="B596" s="63" t="s">
        <v>16</v>
      </c>
      <c r="C596" s="63" t="s">
        <v>3712</v>
      </c>
      <c r="D596" s="63" t="s">
        <v>3713</v>
      </c>
      <c r="E596" s="63" t="s">
        <v>3714</v>
      </c>
      <c r="F596" s="63" t="s">
        <v>2569</v>
      </c>
      <c r="G596" s="63" t="s">
        <v>28</v>
      </c>
      <c r="H596" s="63" t="s">
        <v>3715</v>
      </c>
      <c r="I596" s="63" t="s">
        <v>855</v>
      </c>
    </row>
    <row r="597" ht="11.25" customHeight="1">
      <c r="A597" s="63" t="s">
        <v>2257</v>
      </c>
      <c r="B597" s="63" t="s">
        <v>16</v>
      </c>
      <c r="C597" s="63" t="s">
        <v>3716</v>
      </c>
      <c r="D597" s="63" t="s">
        <v>3717</v>
      </c>
      <c r="E597" s="63" t="s">
        <v>3718</v>
      </c>
      <c r="F597" s="63" t="s">
        <v>2322</v>
      </c>
      <c r="G597" s="63" t="s">
        <v>28</v>
      </c>
      <c r="H597" s="63" t="s">
        <v>28</v>
      </c>
      <c r="I597" s="63" t="s">
        <v>855</v>
      </c>
    </row>
    <row r="598" ht="11.25" customHeight="1">
      <c r="A598" s="63" t="s">
        <v>2257</v>
      </c>
      <c r="B598" s="63" t="s">
        <v>16</v>
      </c>
      <c r="C598" s="63" t="s">
        <v>3719</v>
      </c>
      <c r="D598" s="63" t="s">
        <v>3720</v>
      </c>
      <c r="E598" s="63" t="s">
        <v>3721</v>
      </c>
      <c r="F598" s="63" t="s">
        <v>2275</v>
      </c>
      <c r="G598" s="63" t="s">
        <v>28</v>
      </c>
      <c r="H598" s="63" t="s">
        <v>28</v>
      </c>
      <c r="I598" s="63" t="s">
        <v>855</v>
      </c>
    </row>
    <row r="599" ht="11.25" customHeight="1">
      <c r="A599" s="63" t="s">
        <v>2257</v>
      </c>
      <c r="B599" s="63" t="s">
        <v>16</v>
      </c>
      <c r="C599" s="63" t="s">
        <v>3722</v>
      </c>
      <c r="D599" s="63" t="s">
        <v>3723</v>
      </c>
      <c r="E599" s="63" t="s">
        <v>3724</v>
      </c>
      <c r="F599" s="63" t="s">
        <v>2407</v>
      </c>
      <c r="G599" s="63" t="s">
        <v>28</v>
      </c>
      <c r="H599" s="63" t="s">
        <v>28</v>
      </c>
      <c r="I599" s="63" t="s">
        <v>855</v>
      </c>
    </row>
    <row r="600" ht="11.25" customHeight="1">
      <c r="A600" s="63" t="s">
        <v>2257</v>
      </c>
      <c r="B600" s="63" t="s">
        <v>16</v>
      </c>
      <c r="C600" s="63" t="s">
        <v>3725</v>
      </c>
      <c r="D600" s="63" t="s">
        <v>3726</v>
      </c>
      <c r="E600" s="63" t="s">
        <v>3727</v>
      </c>
      <c r="F600" s="63" t="s">
        <v>2391</v>
      </c>
      <c r="G600" s="63" t="s">
        <v>28</v>
      </c>
      <c r="H600" s="63" t="s">
        <v>28</v>
      </c>
      <c r="I600" s="63" t="s">
        <v>855</v>
      </c>
    </row>
    <row r="601" ht="11.25" customHeight="1">
      <c r="A601" s="63" t="s">
        <v>2257</v>
      </c>
      <c r="B601" s="63" t="s">
        <v>16</v>
      </c>
      <c r="C601" s="63" t="s">
        <v>3728</v>
      </c>
      <c r="D601" s="63" t="s">
        <v>3729</v>
      </c>
      <c r="E601" s="63" t="s">
        <v>3730</v>
      </c>
      <c r="F601" s="63" t="s">
        <v>2569</v>
      </c>
      <c r="G601" s="63" t="s">
        <v>28</v>
      </c>
      <c r="H601" s="63" t="s">
        <v>28</v>
      </c>
      <c r="I601" s="63" t="s">
        <v>855</v>
      </c>
    </row>
    <row r="602" ht="11.25" customHeight="1">
      <c r="A602" s="63" t="s">
        <v>2257</v>
      </c>
      <c r="B602" s="63" t="s">
        <v>16</v>
      </c>
      <c r="C602" s="63" t="s">
        <v>3731</v>
      </c>
      <c r="D602" s="63" t="s">
        <v>3732</v>
      </c>
      <c r="E602" s="63" t="s">
        <v>3733</v>
      </c>
      <c r="F602" s="63" t="s">
        <v>2518</v>
      </c>
      <c r="G602" s="63" t="s">
        <v>3734</v>
      </c>
      <c r="H602" s="63" t="s">
        <v>28</v>
      </c>
      <c r="I602" s="63" t="s">
        <v>855</v>
      </c>
    </row>
    <row r="603" ht="11.25" customHeight="1">
      <c r="A603" s="63" t="s">
        <v>2257</v>
      </c>
      <c r="B603" s="63" t="s">
        <v>16</v>
      </c>
      <c r="C603" s="63" t="s">
        <v>3233</v>
      </c>
      <c r="D603" s="63" t="s">
        <v>3234</v>
      </c>
      <c r="E603" s="63" t="s">
        <v>3235</v>
      </c>
      <c r="F603" s="63" t="s">
        <v>2330</v>
      </c>
      <c r="G603" s="63" t="s">
        <v>3236</v>
      </c>
      <c r="H603" s="63" t="s">
        <v>28</v>
      </c>
      <c r="I603" s="63" t="s">
        <v>855</v>
      </c>
    </row>
    <row r="604" ht="11.25" customHeight="1">
      <c r="A604" s="63" t="s">
        <v>2257</v>
      </c>
      <c r="B604" s="63" t="s">
        <v>16</v>
      </c>
      <c r="C604" s="63" t="s">
        <v>3237</v>
      </c>
      <c r="D604" s="63" t="s">
        <v>3238</v>
      </c>
      <c r="E604" s="63" t="s">
        <v>3239</v>
      </c>
      <c r="F604" s="63" t="s">
        <v>2275</v>
      </c>
      <c r="G604" s="63" t="s">
        <v>28</v>
      </c>
      <c r="H604" s="63" t="s">
        <v>28</v>
      </c>
      <c r="I604" s="63" t="s">
        <v>855</v>
      </c>
    </row>
    <row r="605" ht="11.25" customHeight="1">
      <c r="A605" s="63" t="s">
        <v>2257</v>
      </c>
      <c r="B605" s="63" t="s">
        <v>16</v>
      </c>
      <c r="C605" s="63" t="s">
        <v>3735</v>
      </c>
      <c r="D605" s="63" t="s">
        <v>3736</v>
      </c>
      <c r="E605" s="63" t="s">
        <v>3737</v>
      </c>
      <c r="F605" s="63" t="s">
        <v>2322</v>
      </c>
      <c r="G605" s="63" t="s">
        <v>3738</v>
      </c>
      <c r="H605" s="63" t="s">
        <v>28</v>
      </c>
      <c r="I605" s="63" t="s">
        <v>855</v>
      </c>
    </row>
    <row r="606" ht="11.25" customHeight="1">
      <c r="A606" s="63" t="s">
        <v>2257</v>
      </c>
      <c r="B606" s="63" t="s">
        <v>16</v>
      </c>
      <c r="C606" s="63" t="s">
        <v>3247</v>
      </c>
      <c r="D606" s="63" t="s">
        <v>3248</v>
      </c>
      <c r="E606" s="63" t="s">
        <v>3249</v>
      </c>
      <c r="F606" s="63" t="s">
        <v>2330</v>
      </c>
      <c r="G606" s="63" t="s">
        <v>28</v>
      </c>
      <c r="H606" s="63" t="s">
        <v>28</v>
      </c>
      <c r="I606" s="63" t="s">
        <v>855</v>
      </c>
    </row>
    <row r="607" ht="11.25" customHeight="1">
      <c r="A607" s="63" t="s">
        <v>2257</v>
      </c>
      <c r="B607" s="63" t="s">
        <v>16</v>
      </c>
      <c r="C607" s="63" t="s">
        <v>3739</v>
      </c>
      <c r="D607" s="63" t="s">
        <v>3740</v>
      </c>
      <c r="E607" s="63" t="s">
        <v>3741</v>
      </c>
      <c r="F607" s="63" t="s">
        <v>2364</v>
      </c>
      <c r="G607" s="63" t="s">
        <v>3742</v>
      </c>
      <c r="H607" s="63" t="s">
        <v>28</v>
      </c>
      <c r="I607" s="63" t="s">
        <v>855</v>
      </c>
    </row>
    <row r="608" ht="11.25" customHeight="1">
      <c r="A608" s="63" t="s">
        <v>2257</v>
      </c>
      <c r="B608" s="63" t="s">
        <v>16</v>
      </c>
      <c r="C608" s="63" t="s">
        <v>3253</v>
      </c>
      <c r="D608" s="63" t="s">
        <v>3254</v>
      </c>
      <c r="E608" s="63" t="s">
        <v>3255</v>
      </c>
      <c r="F608" s="63" t="s">
        <v>2364</v>
      </c>
      <c r="G608" s="63" t="s">
        <v>3256</v>
      </c>
      <c r="H608" s="63" t="s">
        <v>28</v>
      </c>
      <c r="I608" s="63" t="s">
        <v>855</v>
      </c>
    </row>
    <row r="609" ht="11.25" customHeight="1">
      <c r="A609" s="63" t="s">
        <v>2257</v>
      </c>
      <c r="B609" s="63" t="s">
        <v>16</v>
      </c>
      <c r="C609" s="63" t="s">
        <v>3264</v>
      </c>
      <c r="D609" s="63" t="s">
        <v>3265</v>
      </c>
      <c r="E609" s="63" t="s">
        <v>3266</v>
      </c>
      <c r="F609" s="63" t="s">
        <v>3267</v>
      </c>
      <c r="G609" s="63" t="s">
        <v>3268</v>
      </c>
      <c r="H609" s="63" t="s">
        <v>28</v>
      </c>
      <c r="I609" s="63" t="s">
        <v>855</v>
      </c>
    </row>
    <row r="610" ht="11.25" customHeight="1">
      <c r="A610" s="63" t="s">
        <v>2257</v>
      </c>
      <c r="B610" s="63" t="s">
        <v>16</v>
      </c>
      <c r="C610" s="63" t="s">
        <v>3269</v>
      </c>
      <c r="D610" s="63" t="s">
        <v>3270</v>
      </c>
      <c r="E610" s="63" t="s">
        <v>3271</v>
      </c>
      <c r="F610" s="63" t="s">
        <v>3272</v>
      </c>
      <c r="G610" s="63" t="s">
        <v>28</v>
      </c>
      <c r="H610" s="63" t="s">
        <v>28</v>
      </c>
      <c r="I610" s="63" t="s">
        <v>855</v>
      </c>
    </row>
    <row r="611" ht="11.25" customHeight="1">
      <c r="A611" s="63" t="s">
        <v>2257</v>
      </c>
      <c r="B611" s="63" t="s">
        <v>16</v>
      </c>
      <c r="C611" s="63" t="s">
        <v>3278</v>
      </c>
      <c r="D611" s="63" t="s">
        <v>3279</v>
      </c>
      <c r="E611" s="63" t="s">
        <v>3280</v>
      </c>
      <c r="F611" s="63" t="s">
        <v>3281</v>
      </c>
      <c r="G611" s="63" t="s">
        <v>3282</v>
      </c>
      <c r="H611" s="63" t="s">
        <v>28</v>
      </c>
      <c r="I611" s="63" t="s">
        <v>855</v>
      </c>
    </row>
    <row r="612" ht="11.25" customHeight="1">
      <c r="A612" s="63" t="s">
        <v>2257</v>
      </c>
      <c r="B612" s="63" t="s">
        <v>16</v>
      </c>
      <c r="C612" s="63" t="s">
        <v>3287</v>
      </c>
      <c r="D612" s="63" t="s">
        <v>3288</v>
      </c>
      <c r="E612" s="63" t="s">
        <v>3289</v>
      </c>
      <c r="F612" s="63" t="s">
        <v>2322</v>
      </c>
      <c r="G612" s="63" t="s">
        <v>28</v>
      </c>
      <c r="H612" s="63" t="s">
        <v>28</v>
      </c>
      <c r="I612" s="63" t="s">
        <v>855</v>
      </c>
    </row>
    <row r="613" ht="11.25" customHeight="1">
      <c r="A613" s="63" t="s">
        <v>2257</v>
      </c>
      <c r="B613" s="63" t="s">
        <v>16</v>
      </c>
      <c r="C613" s="63" t="s">
        <v>3743</v>
      </c>
      <c r="D613" s="63" t="s">
        <v>3744</v>
      </c>
      <c r="E613" s="63" t="s">
        <v>3639</v>
      </c>
      <c r="F613" s="63" t="s">
        <v>3745</v>
      </c>
      <c r="G613" s="63" t="s">
        <v>28</v>
      </c>
      <c r="H613" s="63" t="s">
        <v>28</v>
      </c>
      <c r="I613" s="63" t="s">
        <v>855</v>
      </c>
    </row>
    <row r="614" ht="11.25" customHeight="1">
      <c r="A614" s="63" t="s">
        <v>2257</v>
      </c>
      <c r="B614" s="63" t="s">
        <v>16</v>
      </c>
      <c r="C614" s="63" t="s">
        <v>3746</v>
      </c>
      <c r="D614" s="63" t="s">
        <v>3747</v>
      </c>
      <c r="E614" s="63" t="s">
        <v>3748</v>
      </c>
      <c r="F614" s="63" t="s">
        <v>2449</v>
      </c>
      <c r="G614" s="63" t="s">
        <v>3749</v>
      </c>
      <c r="H614" s="63" t="s">
        <v>28</v>
      </c>
      <c r="I614" s="63" t="s">
        <v>855</v>
      </c>
    </row>
    <row r="615" ht="11.25" customHeight="1">
      <c r="A615" s="63" t="s">
        <v>2257</v>
      </c>
      <c r="B615" s="63" t="s">
        <v>16</v>
      </c>
      <c r="C615" s="63" t="s">
        <v>3750</v>
      </c>
      <c r="D615" s="63" t="s">
        <v>3751</v>
      </c>
      <c r="E615" s="63" t="s">
        <v>3752</v>
      </c>
      <c r="F615" s="63" t="s">
        <v>2559</v>
      </c>
      <c r="G615" s="63" t="s">
        <v>28</v>
      </c>
      <c r="H615" s="63" t="s">
        <v>28</v>
      </c>
      <c r="I615" s="63" t="s">
        <v>855</v>
      </c>
    </row>
    <row r="616" ht="11.25" customHeight="1">
      <c r="A616" s="63" t="s">
        <v>2257</v>
      </c>
      <c r="B616" s="63" t="s">
        <v>16</v>
      </c>
      <c r="C616" s="63" t="s">
        <v>3300</v>
      </c>
      <c r="D616" s="63" t="s">
        <v>3301</v>
      </c>
      <c r="E616" s="63" t="s">
        <v>3302</v>
      </c>
      <c r="F616" s="63" t="s">
        <v>2750</v>
      </c>
      <c r="G616" s="63" t="s">
        <v>3303</v>
      </c>
      <c r="H616" s="63" t="s">
        <v>28</v>
      </c>
      <c r="I616" s="63" t="s">
        <v>855</v>
      </c>
    </row>
    <row r="617" ht="11.25" customHeight="1">
      <c r="A617" s="63" t="s">
        <v>2257</v>
      </c>
      <c r="B617" s="63" t="s">
        <v>16</v>
      </c>
      <c r="C617" s="63" t="s">
        <v>3304</v>
      </c>
      <c r="D617" s="63" t="s">
        <v>3305</v>
      </c>
      <c r="E617" s="63" t="s">
        <v>3306</v>
      </c>
      <c r="F617" s="63" t="s">
        <v>2275</v>
      </c>
      <c r="G617" s="63" t="s">
        <v>3307</v>
      </c>
      <c r="H617" s="63" t="s">
        <v>28</v>
      </c>
      <c r="I617" s="63" t="s">
        <v>855</v>
      </c>
    </row>
    <row r="618" ht="11.25" customHeight="1">
      <c r="A618" s="63" t="s">
        <v>2257</v>
      </c>
      <c r="B618" s="63" t="s">
        <v>16</v>
      </c>
      <c r="C618" s="63" t="s">
        <v>3308</v>
      </c>
      <c r="D618" s="63" t="s">
        <v>3309</v>
      </c>
      <c r="E618" s="63" t="s">
        <v>3310</v>
      </c>
      <c r="F618" s="63" t="s">
        <v>3311</v>
      </c>
      <c r="G618" s="63" t="s">
        <v>28</v>
      </c>
      <c r="H618" s="63" t="s">
        <v>28</v>
      </c>
      <c r="I618" s="63" t="s">
        <v>855</v>
      </c>
    </row>
    <row r="619" ht="11.25" customHeight="1">
      <c r="A619" s="63" t="s">
        <v>2257</v>
      </c>
      <c r="B619" s="63" t="s">
        <v>16</v>
      </c>
      <c r="C619" s="63" t="s">
        <v>3315</v>
      </c>
      <c r="D619" s="63" t="s">
        <v>3316</v>
      </c>
      <c r="E619" s="63" t="s">
        <v>3317</v>
      </c>
      <c r="F619" s="63" t="s">
        <v>2315</v>
      </c>
      <c r="G619" s="63" t="s">
        <v>28</v>
      </c>
      <c r="H619" s="63" t="s">
        <v>28</v>
      </c>
      <c r="I619" s="63" t="s">
        <v>855</v>
      </c>
    </row>
    <row r="620" ht="11.25" customHeight="1">
      <c r="A620" s="63" t="s">
        <v>2257</v>
      </c>
      <c r="B620" s="63" t="s">
        <v>16</v>
      </c>
      <c r="C620" s="63" t="s">
        <v>3753</v>
      </c>
      <c r="D620" s="63" t="s">
        <v>3754</v>
      </c>
      <c r="E620" s="63" t="s">
        <v>3755</v>
      </c>
      <c r="F620" s="63" t="s">
        <v>3756</v>
      </c>
      <c r="G620" s="63" t="s">
        <v>3757</v>
      </c>
      <c r="H620" s="63" t="s">
        <v>28</v>
      </c>
      <c r="I620" s="63" t="s">
        <v>855</v>
      </c>
    </row>
    <row r="621" ht="11.25" customHeight="1">
      <c r="A621" s="63" t="s">
        <v>2257</v>
      </c>
      <c r="B621" s="63" t="s">
        <v>16</v>
      </c>
      <c r="C621" s="63" t="s">
        <v>3318</v>
      </c>
      <c r="D621" s="63" t="s">
        <v>3319</v>
      </c>
      <c r="E621" s="63" t="s">
        <v>3320</v>
      </c>
      <c r="F621" s="63" t="s">
        <v>2298</v>
      </c>
      <c r="G621" s="63" t="s">
        <v>28</v>
      </c>
      <c r="H621" s="63" t="s">
        <v>28</v>
      </c>
      <c r="I621" s="63" t="s">
        <v>855</v>
      </c>
    </row>
    <row r="622" ht="11.25" customHeight="1">
      <c r="A622" s="63" t="s">
        <v>2257</v>
      </c>
      <c r="B622" s="63" t="s">
        <v>16</v>
      </c>
      <c r="C622" s="63" t="s">
        <v>3321</v>
      </c>
      <c r="D622" s="63" t="s">
        <v>3322</v>
      </c>
      <c r="E622" s="63" t="s">
        <v>3323</v>
      </c>
      <c r="F622" s="63" t="s">
        <v>2279</v>
      </c>
      <c r="G622" s="63" t="s">
        <v>3324</v>
      </c>
      <c r="H622" s="63" t="s">
        <v>28</v>
      </c>
      <c r="I622" s="63" t="s">
        <v>855</v>
      </c>
    </row>
    <row r="623" ht="11.25" customHeight="1">
      <c r="A623" s="63" t="s">
        <v>2257</v>
      </c>
      <c r="B623" s="63" t="s">
        <v>16</v>
      </c>
      <c r="C623" s="63" t="s">
        <v>3325</v>
      </c>
      <c r="D623" s="63" t="s">
        <v>3326</v>
      </c>
      <c r="E623" s="63" t="s">
        <v>3327</v>
      </c>
      <c r="F623" s="63" t="s">
        <v>2407</v>
      </c>
      <c r="G623" s="63" t="s">
        <v>28</v>
      </c>
      <c r="H623" s="63" t="s">
        <v>28</v>
      </c>
      <c r="I623" s="63" t="s">
        <v>855</v>
      </c>
    </row>
    <row r="624" ht="11.25" customHeight="1">
      <c r="A624" s="63" t="s">
        <v>2257</v>
      </c>
      <c r="B624" s="63" t="s">
        <v>16</v>
      </c>
      <c r="C624" s="63" t="s">
        <v>3328</v>
      </c>
      <c r="D624" s="63" t="s">
        <v>3329</v>
      </c>
      <c r="E624" s="63" t="s">
        <v>3330</v>
      </c>
      <c r="F624" s="63" t="s">
        <v>2407</v>
      </c>
      <c r="G624" s="63" t="s">
        <v>28</v>
      </c>
      <c r="H624" s="63" t="s">
        <v>28</v>
      </c>
      <c r="I624" s="63" t="s">
        <v>855</v>
      </c>
    </row>
    <row r="625" ht="11.25" customHeight="1">
      <c r="A625" s="63" t="s">
        <v>2257</v>
      </c>
      <c r="B625" s="63" t="s">
        <v>16</v>
      </c>
      <c r="C625" s="63" t="s">
        <v>3331</v>
      </c>
      <c r="D625" s="63" t="s">
        <v>3332</v>
      </c>
      <c r="E625" s="63" t="s">
        <v>3333</v>
      </c>
      <c r="F625" s="63" t="s">
        <v>3334</v>
      </c>
      <c r="G625" s="63" t="s">
        <v>28</v>
      </c>
      <c r="H625" s="63" t="s">
        <v>28</v>
      </c>
      <c r="I625" s="63" t="s">
        <v>855</v>
      </c>
    </row>
    <row r="626" ht="11.25" customHeight="1">
      <c r="A626" s="63" t="s">
        <v>2257</v>
      </c>
      <c r="B626" s="63" t="s">
        <v>16</v>
      </c>
      <c r="C626" s="63" t="s">
        <v>3335</v>
      </c>
      <c r="D626" s="63" t="s">
        <v>3336</v>
      </c>
      <c r="E626" s="63" t="s">
        <v>3337</v>
      </c>
      <c r="F626" s="63" t="s">
        <v>2298</v>
      </c>
      <c r="G626" s="63" t="s">
        <v>28</v>
      </c>
      <c r="H626" s="63" t="s">
        <v>28</v>
      </c>
      <c r="I626" s="63" t="s">
        <v>855</v>
      </c>
    </row>
    <row r="627" ht="11.25" customHeight="1">
      <c r="A627" s="63" t="s">
        <v>2257</v>
      </c>
      <c r="B627" s="63" t="s">
        <v>16</v>
      </c>
      <c r="C627" s="63" t="s">
        <v>3344</v>
      </c>
      <c r="D627" s="63" t="s">
        <v>3345</v>
      </c>
      <c r="E627" s="63" t="s">
        <v>3346</v>
      </c>
      <c r="F627" s="63" t="s">
        <v>2364</v>
      </c>
      <c r="G627" s="63" t="s">
        <v>28</v>
      </c>
      <c r="H627" s="63" t="s">
        <v>28</v>
      </c>
      <c r="I627" s="63" t="s">
        <v>855</v>
      </c>
    </row>
    <row r="628" ht="11.25" customHeight="1">
      <c r="A628" s="63" t="s">
        <v>2257</v>
      </c>
      <c r="B628" s="63" t="s">
        <v>16</v>
      </c>
      <c r="C628" s="63" t="s">
        <v>3350</v>
      </c>
      <c r="D628" s="63" t="s">
        <v>3351</v>
      </c>
      <c r="E628" s="63" t="s">
        <v>3352</v>
      </c>
      <c r="F628" s="63" t="s">
        <v>2364</v>
      </c>
      <c r="G628" s="63" t="s">
        <v>28</v>
      </c>
      <c r="H628" s="63" t="s">
        <v>28</v>
      </c>
      <c r="I628" s="63" t="s">
        <v>855</v>
      </c>
    </row>
    <row r="629" ht="11.25" customHeight="1">
      <c r="A629" s="63" t="s">
        <v>2257</v>
      </c>
      <c r="B629" s="63" t="s">
        <v>16</v>
      </c>
      <c r="C629" s="63" t="s">
        <v>3363</v>
      </c>
      <c r="D629" s="63" t="s">
        <v>3364</v>
      </c>
      <c r="E629" s="63" t="s">
        <v>3365</v>
      </c>
      <c r="F629" s="63" t="s">
        <v>2364</v>
      </c>
      <c r="G629" s="63" t="s">
        <v>28</v>
      </c>
      <c r="H629" s="63" t="s">
        <v>28</v>
      </c>
      <c r="I629" s="63" t="s">
        <v>855</v>
      </c>
    </row>
    <row r="630" ht="11.25" customHeight="1">
      <c r="A630" s="63" t="s">
        <v>2257</v>
      </c>
      <c r="B630" s="63" t="s">
        <v>16</v>
      </c>
      <c r="C630" s="63" t="s">
        <v>3372</v>
      </c>
      <c r="D630" s="63" t="s">
        <v>3373</v>
      </c>
      <c r="E630" s="63" t="s">
        <v>3374</v>
      </c>
      <c r="F630" s="63" t="s">
        <v>3375</v>
      </c>
      <c r="G630" s="63" t="s">
        <v>3376</v>
      </c>
      <c r="H630" s="63" t="s">
        <v>28</v>
      </c>
      <c r="I630" s="63" t="s">
        <v>855</v>
      </c>
    </row>
    <row r="631" ht="11.25" customHeight="1">
      <c r="A631" s="63" t="s">
        <v>2257</v>
      </c>
      <c r="B631" s="63" t="s">
        <v>16</v>
      </c>
      <c r="C631" s="63" t="s">
        <v>3380</v>
      </c>
      <c r="D631" s="63" t="s">
        <v>3381</v>
      </c>
      <c r="E631" s="63" t="s">
        <v>3382</v>
      </c>
      <c r="F631" s="63" t="s">
        <v>3383</v>
      </c>
      <c r="G631" s="63" t="s">
        <v>3384</v>
      </c>
      <c r="H631" s="63" t="s">
        <v>28</v>
      </c>
      <c r="I631" s="63" t="s">
        <v>855</v>
      </c>
    </row>
    <row r="632" ht="11.25" customHeight="1">
      <c r="A632" s="63" t="s">
        <v>2257</v>
      </c>
      <c r="B632" s="63" t="s">
        <v>16</v>
      </c>
      <c r="C632" s="63" t="s">
        <v>3385</v>
      </c>
      <c r="D632" s="63" t="s">
        <v>3386</v>
      </c>
      <c r="E632" s="63" t="s">
        <v>3310</v>
      </c>
      <c r="F632" s="63" t="s">
        <v>3387</v>
      </c>
      <c r="G632" s="63" t="s">
        <v>28</v>
      </c>
      <c r="H632" s="63" t="s">
        <v>28</v>
      </c>
      <c r="I632" s="63" t="s">
        <v>855</v>
      </c>
    </row>
    <row r="633" ht="11.25" customHeight="1">
      <c r="A633" s="63" t="s">
        <v>2257</v>
      </c>
      <c r="B633" s="63" t="s">
        <v>16</v>
      </c>
      <c r="C633" s="63" t="s">
        <v>3388</v>
      </c>
      <c r="D633" s="63" t="s">
        <v>3389</v>
      </c>
      <c r="E633" s="63" t="s">
        <v>3390</v>
      </c>
      <c r="F633" s="63" t="s">
        <v>3375</v>
      </c>
      <c r="G633" s="63" t="s">
        <v>3391</v>
      </c>
      <c r="H633" s="63" t="s">
        <v>28</v>
      </c>
      <c r="I633" s="63" t="s">
        <v>855</v>
      </c>
    </row>
    <row r="634" ht="11.25" customHeight="1">
      <c r="A634" s="63" t="s">
        <v>2257</v>
      </c>
      <c r="B634" s="63" t="s">
        <v>16</v>
      </c>
      <c r="C634" s="63" t="s">
        <v>13</v>
      </c>
      <c r="D634" s="63" t="s">
        <v>47</v>
      </c>
      <c r="E634" s="63" t="s">
        <v>50</v>
      </c>
      <c r="F634" s="63" t="s">
        <v>52</v>
      </c>
      <c r="G634" s="63" t="s">
        <v>28</v>
      </c>
      <c r="H634" s="63" t="s">
        <v>28</v>
      </c>
      <c r="I634" s="63" t="s">
        <v>855</v>
      </c>
    </row>
    <row r="635" ht="11.25" customHeight="1">
      <c r="A635" s="63" t="s">
        <v>2257</v>
      </c>
      <c r="B635" s="63" t="s">
        <v>16</v>
      </c>
      <c r="C635" s="63" t="s">
        <v>3405</v>
      </c>
      <c r="D635" s="63" t="s">
        <v>3406</v>
      </c>
      <c r="E635" s="63" t="s">
        <v>3407</v>
      </c>
      <c r="F635" s="63" t="s">
        <v>2298</v>
      </c>
      <c r="G635" s="63" t="s">
        <v>28</v>
      </c>
      <c r="H635" s="63" t="s">
        <v>28</v>
      </c>
      <c r="I635" s="63" t="s">
        <v>908</v>
      </c>
    </row>
    <row r="636" ht="11.25" customHeight="1">
      <c r="A636" s="63" t="s">
        <v>2257</v>
      </c>
      <c r="B636" s="63" t="s">
        <v>16</v>
      </c>
      <c r="C636" s="63" t="s">
        <v>2258</v>
      </c>
      <c r="D636" s="63" t="s">
        <v>2259</v>
      </c>
      <c r="E636" s="63" t="s">
        <v>2260</v>
      </c>
      <c r="F636" s="63" t="s">
        <v>2261</v>
      </c>
      <c r="G636" s="63" t="s">
        <v>28</v>
      </c>
      <c r="H636" s="63" t="s">
        <v>28</v>
      </c>
      <c r="I636" s="63" t="s">
        <v>908</v>
      </c>
    </row>
    <row r="637" ht="11.25" customHeight="1">
      <c r="A637" s="63" t="s">
        <v>2257</v>
      </c>
      <c r="B637" s="63" t="s">
        <v>16</v>
      </c>
      <c r="C637" s="63" t="s">
        <v>2267</v>
      </c>
      <c r="D637" s="63" t="s">
        <v>2268</v>
      </c>
      <c r="E637" s="63" t="s">
        <v>2269</v>
      </c>
      <c r="F637" s="63" t="s">
        <v>2270</v>
      </c>
      <c r="G637" s="63" t="s">
        <v>2271</v>
      </c>
      <c r="H637" s="63" t="s">
        <v>28</v>
      </c>
      <c r="I637" s="63" t="s">
        <v>908</v>
      </c>
    </row>
    <row r="638" ht="11.25" customHeight="1">
      <c r="A638" s="63" t="s">
        <v>2257</v>
      </c>
      <c r="B638" s="63" t="s">
        <v>16</v>
      </c>
      <c r="C638" s="63" t="s">
        <v>2276</v>
      </c>
      <c r="D638" s="63" t="s">
        <v>2277</v>
      </c>
      <c r="E638" s="63" t="s">
        <v>2278</v>
      </c>
      <c r="F638" s="63" t="s">
        <v>2279</v>
      </c>
      <c r="G638" s="63" t="s">
        <v>2280</v>
      </c>
      <c r="H638" s="63" t="s">
        <v>28</v>
      </c>
      <c r="I638" s="63" t="s">
        <v>908</v>
      </c>
    </row>
    <row r="639" ht="11.25" customHeight="1">
      <c r="A639" s="63" t="s">
        <v>2257</v>
      </c>
      <c r="B639" s="63" t="s">
        <v>16</v>
      </c>
      <c r="C639" s="63" t="s">
        <v>2281</v>
      </c>
      <c r="D639" s="63" t="s">
        <v>2282</v>
      </c>
      <c r="E639" s="63" t="s">
        <v>2283</v>
      </c>
      <c r="F639" s="63" t="s">
        <v>2284</v>
      </c>
      <c r="G639" s="63" t="s">
        <v>28</v>
      </c>
      <c r="H639" s="63" t="s">
        <v>28</v>
      </c>
      <c r="I639" s="63" t="s">
        <v>908</v>
      </c>
    </row>
    <row r="640" ht="11.25" customHeight="1">
      <c r="A640" s="63" t="s">
        <v>2257</v>
      </c>
      <c r="B640" s="63" t="s">
        <v>16</v>
      </c>
      <c r="C640" s="63" t="s">
        <v>3408</v>
      </c>
      <c r="D640" s="63" t="s">
        <v>3409</v>
      </c>
      <c r="E640" s="63" t="s">
        <v>3410</v>
      </c>
      <c r="F640" s="63" t="s">
        <v>2518</v>
      </c>
      <c r="G640" s="63" t="s">
        <v>28</v>
      </c>
      <c r="H640" s="63" t="s">
        <v>28</v>
      </c>
      <c r="I640" s="63" t="s">
        <v>908</v>
      </c>
    </row>
    <row r="641" ht="11.25" customHeight="1">
      <c r="A641" s="63" t="s">
        <v>2257</v>
      </c>
      <c r="B641" s="63" t="s">
        <v>16</v>
      </c>
      <c r="C641" s="63" t="s">
        <v>3414</v>
      </c>
      <c r="D641" s="63" t="s">
        <v>3415</v>
      </c>
      <c r="E641" s="63" t="s">
        <v>3416</v>
      </c>
      <c r="F641" s="63" t="s">
        <v>2364</v>
      </c>
      <c r="G641" s="63" t="s">
        <v>28</v>
      </c>
      <c r="H641" s="63" t="s">
        <v>28</v>
      </c>
      <c r="I641" s="63" t="s">
        <v>908</v>
      </c>
    </row>
    <row r="642" ht="11.25" customHeight="1">
      <c r="A642" s="63" t="s">
        <v>2257</v>
      </c>
      <c r="B642" s="63" t="s">
        <v>16</v>
      </c>
      <c r="C642" s="63" t="s">
        <v>2295</v>
      </c>
      <c r="D642" s="63" t="s">
        <v>2296</v>
      </c>
      <c r="E642" s="63" t="s">
        <v>2297</v>
      </c>
      <c r="F642" s="63" t="s">
        <v>2298</v>
      </c>
      <c r="G642" s="63" t="s">
        <v>28</v>
      </c>
      <c r="H642" s="63" t="s">
        <v>28</v>
      </c>
      <c r="I642" s="63" t="s">
        <v>908</v>
      </c>
    </row>
    <row r="643" ht="11.25" customHeight="1">
      <c r="A643" s="63" t="s">
        <v>2257</v>
      </c>
      <c r="B643" s="63" t="s">
        <v>16</v>
      </c>
      <c r="C643" s="63" t="s">
        <v>2303</v>
      </c>
      <c r="D643" s="63" t="s">
        <v>2304</v>
      </c>
      <c r="E643" s="63" t="s">
        <v>2305</v>
      </c>
      <c r="F643" s="63" t="s">
        <v>2306</v>
      </c>
      <c r="G643" s="63" t="s">
        <v>2307</v>
      </c>
      <c r="H643" s="63" t="s">
        <v>28</v>
      </c>
      <c r="I643" s="63" t="s">
        <v>908</v>
      </c>
    </row>
    <row r="644" ht="11.25" customHeight="1">
      <c r="A644" s="63" t="s">
        <v>2257</v>
      </c>
      <c r="B644" s="63" t="s">
        <v>16</v>
      </c>
      <c r="C644" s="63" t="s">
        <v>2308</v>
      </c>
      <c r="D644" s="63" t="s">
        <v>2309</v>
      </c>
      <c r="E644" s="63" t="s">
        <v>2310</v>
      </c>
      <c r="F644" s="63" t="s">
        <v>2265</v>
      </c>
      <c r="G644" s="63" t="s">
        <v>2311</v>
      </c>
      <c r="H644" s="63" t="s">
        <v>28</v>
      </c>
      <c r="I644" s="63" t="s">
        <v>908</v>
      </c>
    </row>
    <row r="645" ht="11.25" customHeight="1">
      <c r="A645" s="63" t="s">
        <v>2257</v>
      </c>
      <c r="B645" s="63" t="s">
        <v>16</v>
      </c>
      <c r="C645" s="63" t="s">
        <v>2316</v>
      </c>
      <c r="D645" s="63" t="s">
        <v>2317</v>
      </c>
      <c r="E645" s="63" t="s">
        <v>2318</v>
      </c>
      <c r="F645" s="63" t="s">
        <v>2315</v>
      </c>
      <c r="G645" s="63" t="s">
        <v>28</v>
      </c>
      <c r="H645" s="63" t="s">
        <v>28</v>
      </c>
      <c r="I645" s="63" t="s">
        <v>908</v>
      </c>
    </row>
    <row r="646" ht="11.25" customHeight="1">
      <c r="A646" s="63" t="s">
        <v>2257</v>
      </c>
      <c r="B646" s="63" t="s">
        <v>16</v>
      </c>
      <c r="C646" s="63" t="s">
        <v>2319</v>
      </c>
      <c r="D646" s="63" t="s">
        <v>2320</v>
      </c>
      <c r="E646" s="63" t="s">
        <v>2321</v>
      </c>
      <c r="F646" s="63" t="s">
        <v>2322</v>
      </c>
      <c r="G646" s="63" t="s">
        <v>28</v>
      </c>
      <c r="H646" s="63" t="s">
        <v>28</v>
      </c>
      <c r="I646" s="63" t="s">
        <v>908</v>
      </c>
    </row>
    <row r="647" ht="11.25" customHeight="1">
      <c r="A647" s="63" t="s">
        <v>2257</v>
      </c>
      <c r="B647" s="63" t="s">
        <v>16</v>
      </c>
      <c r="C647" s="63" t="s">
        <v>3758</v>
      </c>
      <c r="D647" s="63" t="s">
        <v>3759</v>
      </c>
      <c r="E647" s="63" t="s">
        <v>3760</v>
      </c>
      <c r="F647" s="63" t="s">
        <v>2354</v>
      </c>
      <c r="G647" s="63" t="s">
        <v>28</v>
      </c>
      <c r="H647" s="63" t="s">
        <v>28</v>
      </c>
      <c r="I647" s="63" t="s">
        <v>908</v>
      </c>
    </row>
    <row r="648" ht="11.25" customHeight="1">
      <c r="A648" s="63" t="s">
        <v>2257</v>
      </c>
      <c r="B648" s="63" t="s">
        <v>16</v>
      </c>
      <c r="C648" s="63" t="s">
        <v>2327</v>
      </c>
      <c r="D648" s="63" t="s">
        <v>2328</v>
      </c>
      <c r="E648" s="63" t="s">
        <v>2329</v>
      </c>
      <c r="F648" s="63" t="s">
        <v>2330</v>
      </c>
      <c r="G648" s="63" t="s">
        <v>2331</v>
      </c>
      <c r="H648" s="63" t="s">
        <v>28</v>
      </c>
      <c r="I648" s="63" t="s">
        <v>908</v>
      </c>
    </row>
    <row r="649" ht="11.25" customHeight="1">
      <c r="A649" s="63" t="s">
        <v>2257</v>
      </c>
      <c r="B649" s="63" t="s">
        <v>16</v>
      </c>
      <c r="C649" s="63" t="s">
        <v>2332</v>
      </c>
      <c r="D649" s="63" t="s">
        <v>2333</v>
      </c>
      <c r="E649" s="63" t="s">
        <v>2334</v>
      </c>
      <c r="F649" s="63" t="s">
        <v>2330</v>
      </c>
      <c r="G649" s="63" t="s">
        <v>2335</v>
      </c>
      <c r="H649" s="63" t="s">
        <v>28</v>
      </c>
      <c r="I649" s="63" t="s">
        <v>908</v>
      </c>
    </row>
    <row r="650" ht="11.25" customHeight="1">
      <c r="A650" s="63" t="s">
        <v>2257</v>
      </c>
      <c r="B650" s="63" t="s">
        <v>16</v>
      </c>
      <c r="C650" s="63" t="s">
        <v>3417</v>
      </c>
      <c r="D650" s="63" t="s">
        <v>3418</v>
      </c>
      <c r="E650" s="63" t="s">
        <v>3419</v>
      </c>
      <c r="F650" s="63" t="s">
        <v>2407</v>
      </c>
      <c r="G650" s="63" t="s">
        <v>3420</v>
      </c>
      <c r="H650" s="63" t="s">
        <v>28</v>
      </c>
      <c r="I650" s="63" t="s">
        <v>908</v>
      </c>
    </row>
    <row r="651" ht="11.25" customHeight="1">
      <c r="A651" s="63" t="s">
        <v>2257</v>
      </c>
      <c r="B651" s="63" t="s">
        <v>16</v>
      </c>
      <c r="C651" s="63" t="s">
        <v>2341</v>
      </c>
      <c r="D651" s="63" t="s">
        <v>2342</v>
      </c>
      <c r="E651" s="63" t="s">
        <v>2343</v>
      </c>
      <c r="F651" s="63" t="s">
        <v>2306</v>
      </c>
      <c r="G651" s="63" t="s">
        <v>28</v>
      </c>
      <c r="H651" s="63" t="s">
        <v>28</v>
      </c>
      <c r="I651" s="63" t="s">
        <v>908</v>
      </c>
    </row>
    <row r="652" ht="11.25" customHeight="1">
      <c r="A652" s="63" t="s">
        <v>2257</v>
      </c>
      <c r="B652" s="63" t="s">
        <v>16</v>
      </c>
      <c r="C652" s="63" t="s">
        <v>2344</v>
      </c>
      <c r="D652" s="63" t="s">
        <v>2345</v>
      </c>
      <c r="E652" s="63" t="s">
        <v>2346</v>
      </c>
      <c r="F652" s="63" t="s">
        <v>2279</v>
      </c>
      <c r="G652" s="63" t="s">
        <v>2347</v>
      </c>
      <c r="H652" s="63" t="s">
        <v>28</v>
      </c>
      <c r="I652" s="63" t="s">
        <v>908</v>
      </c>
    </row>
    <row r="653" ht="11.25" customHeight="1">
      <c r="A653" s="63" t="s">
        <v>2257</v>
      </c>
      <c r="B653" s="63" t="s">
        <v>16</v>
      </c>
      <c r="C653" s="63" t="s">
        <v>2351</v>
      </c>
      <c r="D653" s="63" t="s">
        <v>2352</v>
      </c>
      <c r="E653" s="63" t="s">
        <v>2353</v>
      </c>
      <c r="F653" s="63" t="s">
        <v>2354</v>
      </c>
      <c r="G653" s="63" t="s">
        <v>2355</v>
      </c>
      <c r="H653" s="63" t="s">
        <v>28</v>
      </c>
      <c r="I653" s="63" t="s">
        <v>908</v>
      </c>
    </row>
    <row r="654" ht="11.25" customHeight="1">
      <c r="A654" s="63" t="s">
        <v>2257</v>
      </c>
      <c r="B654" s="63" t="s">
        <v>16</v>
      </c>
      <c r="C654" s="63" t="s">
        <v>2366</v>
      </c>
      <c r="D654" s="63" t="s">
        <v>2367</v>
      </c>
      <c r="E654" s="63" t="s">
        <v>2368</v>
      </c>
      <c r="F654" s="63" t="s">
        <v>2322</v>
      </c>
      <c r="G654" s="63" t="s">
        <v>28</v>
      </c>
      <c r="H654" s="63" t="s">
        <v>28</v>
      </c>
      <c r="I654" s="63" t="s">
        <v>908</v>
      </c>
    </row>
    <row r="655" ht="11.25" customHeight="1">
      <c r="A655" s="63" t="s">
        <v>2257</v>
      </c>
      <c r="B655" s="63" t="s">
        <v>16</v>
      </c>
      <c r="C655" s="63" t="s">
        <v>2380</v>
      </c>
      <c r="D655" s="63" t="s">
        <v>2381</v>
      </c>
      <c r="E655" s="63" t="s">
        <v>2382</v>
      </c>
      <c r="F655" s="63" t="s">
        <v>2383</v>
      </c>
      <c r="G655" s="63" t="s">
        <v>28</v>
      </c>
      <c r="H655" s="63" t="s">
        <v>28</v>
      </c>
      <c r="I655" s="63" t="s">
        <v>908</v>
      </c>
    </row>
    <row r="656" ht="11.25" customHeight="1">
      <c r="A656" s="63" t="s">
        <v>2257</v>
      </c>
      <c r="B656" s="63" t="s">
        <v>16</v>
      </c>
      <c r="C656" s="63" t="s">
        <v>3425</v>
      </c>
      <c r="D656" s="63" t="s">
        <v>3426</v>
      </c>
      <c r="E656" s="63" t="s">
        <v>3427</v>
      </c>
      <c r="F656" s="63" t="s">
        <v>3428</v>
      </c>
      <c r="G656" s="63" t="s">
        <v>28</v>
      </c>
      <c r="H656" s="63" t="s">
        <v>28</v>
      </c>
      <c r="I656" s="63" t="s">
        <v>908</v>
      </c>
    </row>
    <row r="657" ht="11.25" customHeight="1">
      <c r="A657" s="63" t="s">
        <v>2257</v>
      </c>
      <c r="B657" s="63" t="s">
        <v>16</v>
      </c>
      <c r="C657" s="63" t="s">
        <v>3429</v>
      </c>
      <c r="D657" s="63" t="s">
        <v>3430</v>
      </c>
      <c r="E657" s="63" t="s">
        <v>3431</v>
      </c>
      <c r="F657" s="63" t="s">
        <v>2395</v>
      </c>
      <c r="G657" s="63" t="s">
        <v>28</v>
      </c>
      <c r="H657" s="63" t="s">
        <v>28</v>
      </c>
      <c r="I657" s="63" t="s">
        <v>908</v>
      </c>
    </row>
    <row r="658" ht="11.25" customHeight="1">
      <c r="A658" s="63" t="s">
        <v>2257</v>
      </c>
      <c r="B658" s="63" t="s">
        <v>16</v>
      </c>
      <c r="C658" s="63" t="s">
        <v>2400</v>
      </c>
      <c r="D658" s="63" t="s">
        <v>2401</v>
      </c>
      <c r="E658" s="63" t="s">
        <v>2402</v>
      </c>
      <c r="F658" s="63" t="s">
        <v>2403</v>
      </c>
      <c r="G658" s="63" t="s">
        <v>28</v>
      </c>
      <c r="H658" s="63" t="s">
        <v>28</v>
      </c>
      <c r="I658" s="63" t="s">
        <v>908</v>
      </c>
    </row>
    <row r="659" ht="11.25" customHeight="1">
      <c r="A659" s="63" t="s">
        <v>2257</v>
      </c>
      <c r="B659" s="63" t="s">
        <v>16</v>
      </c>
      <c r="C659" s="63" t="s">
        <v>2404</v>
      </c>
      <c r="D659" s="63" t="s">
        <v>2405</v>
      </c>
      <c r="E659" s="63" t="s">
        <v>2406</v>
      </c>
      <c r="F659" s="63" t="s">
        <v>2407</v>
      </c>
      <c r="G659" s="63" t="s">
        <v>2408</v>
      </c>
      <c r="H659" s="63" t="s">
        <v>28</v>
      </c>
      <c r="I659" s="63" t="s">
        <v>908</v>
      </c>
    </row>
    <row r="660" ht="11.25" customHeight="1">
      <c r="A660" s="63" t="s">
        <v>2257</v>
      </c>
      <c r="B660" s="63" t="s">
        <v>16</v>
      </c>
      <c r="C660" s="63" t="s">
        <v>2409</v>
      </c>
      <c r="D660" s="63" t="s">
        <v>2410</v>
      </c>
      <c r="E660" s="63" t="s">
        <v>2411</v>
      </c>
      <c r="F660" s="63" t="s">
        <v>2298</v>
      </c>
      <c r="G660" s="63" t="s">
        <v>2412</v>
      </c>
      <c r="H660" s="63" t="s">
        <v>28</v>
      </c>
      <c r="I660" s="63" t="s">
        <v>908</v>
      </c>
    </row>
    <row r="661" ht="11.25" customHeight="1">
      <c r="A661" s="63" t="s">
        <v>2257</v>
      </c>
      <c r="B661" s="63" t="s">
        <v>16</v>
      </c>
      <c r="C661" s="63" t="s">
        <v>3761</v>
      </c>
      <c r="D661" s="63" t="s">
        <v>3762</v>
      </c>
      <c r="E661" s="63" t="s">
        <v>3763</v>
      </c>
      <c r="F661" s="63" t="s">
        <v>577</v>
      </c>
      <c r="G661" s="63" t="s">
        <v>2450</v>
      </c>
      <c r="H661" s="63" t="s">
        <v>28</v>
      </c>
      <c r="I661" s="63" t="s">
        <v>908</v>
      </c>
    </row>
    <row r="662" ht="11.25" customHeight="1">
      <c r="A662" s="63" t="s">
        <v>2257</v>
      </c>
      <c r="B662" s="63" t="s">
        <v>16</v>
      </c>
      <c r="C662" s="63" t="s">
        <v>3435</v>
      </c>
      <c r="D662" s="63" t="s">
        <v>3436</v>
      </c>
      <c r="E662" s="63" t="s">
        <v>3437</v>
      </c>
      <c r="F662" s="63" t="s">
        <v>577</v>
      </c>
      <c r="G662" s="63" t="s">
        <v>28</v>
      </c>
      <c r="H662" s="63" t="s">
        <v>28</v>
      </c>
      <c r="I662" s="63" t="s">
        <v>908</v>
      </c>
    </row>
    <row r="663" ht="11.25" customHeight="1">
      <c r="A663" s="63" t="s">
        <v>2257</v>
      </c>
      <c r="B663" s="63" t="s">
        <v>16</v>
      </c>
      <c r="C663" s="63" t="s">
        <v>2429</v>
      </c>
      <c r="D663" s="63" t="s">
        <v>2430</v>
      </c>
      <c r="E663" s="63" t="s">
        <v>2431</v>
      </c>
      <c r="F663" s="63" t="s">
        <v>2354</v>
      </c>
      <c r="G663" s="63" t="s">
        <v>28</v>
      </c>
      <c r="H663" s="63" t="s">
        <v>28</v>
      </c>
      <c r="I663" s="63" t="s">
        <v>908</v>
      </c>
    </row>
    <row r="664" ht="11.25" customHeight="1">
      <c r="A664" s="63" t="s">
        <v>2257</v>
      </c>
      <c r="B664" s="63" t="s">
        <v>16</v>
      </c>
      <c r="C664" s="63" t="s">
        <v>2432</v>
      </c>
      <c r="D664" s="63" t="s">
        <v>2433</v>
      </c>
      <c r="E664" s="63" t="s">
        <v>2434</v>
      </c>
      <c r="F664" s="63" t="s">
        <v>2407</v>
      </c>
      <c r="G664" s="63" t="s">
        <v>28</v>
      </c>
      <c r="H664" s="63" t="s">
        <v>28</v>
      </c>
      <c r="I664" s="63" t="s">
        <v>908</v>
      </c>
    </row>
    <row r="665" ht="11.25" customHeight="1">
      <c r="A665" s="63" t="s">
        <v>2257</v>
      </c>
      <c r="B665" s="63" t="s">
        <v>16</v>
      </c>
      <c r="C665" s="63" t="s">
        <v>2435</v>
      </c>
      <c r="D665" s="63" t="s">
        <v>2436</v>
      </c>
      <c r="E665" s="63" t="s">
        <v>2437</v>
      </c>
      <c r="F665" s="63" t="s">
        <v>2354</v>
      </c>
      <c r="G665" s="63" t="s">
        <v>28</v>
      </c>
      <c r="H665" s="63" t="s">
        <v>28</v>
      </c>
      <c r="I665" s="63" t="s">
        <v>908</v>
      </c>
    </row>
    <row r="666" ht="11.25" customHeight="1">
      <c r="A666" s="63" t="s">
        <v>2257</v>
      </c>
      <c r="B666" s="63" t="s">
        <v>16</v>
      </c>
      <c r="C666" s="63" t="s">
        <v>2438</v>
      </c>
      <c r="D666" s="63" t="s">
        <v>2439</v>
      </c>
      <c r="E666" s="63" t="s">
        <v>2440</v>
      </c>
      <c r="F666" s="63" t="s">
        <v>2441</v>
      </c>
      <c r="G666" s="63" t="s">
        <v>2442</v>
      </c>
      <c r="H666" s="63" t="s">
        <v>28</v>
      </c>
      <c r="I666" s="63" t="s">
        <v>908</v>
      </c>
    </row>
    <row r="667" ht="11.25" customHeight="1">
      <c r="A667" s="63" t="s">
        <v>2257</v>
      </c>
      <c r="B667" s="63" t="s">
        <v>16</v>
      </c>
      <c r="C667" s="63" t="s">
        <v>3448</v>
      </c>
      <c r="D667" s="63" t="s">
        <v>3449</v>
      </c>
      <c r="E667" s="63" t="s">
        <v>3450</v>
      </c>
      <c r="F667" s="63" t="s">
        <v>2395</v>
      </c>
      <c r="G667" s="63" t="s">
        <v>28</v>
      </c>
      <c r="H667" s="63" t="s">
        <v>28</v>
      </c>
      <c r="I667" s="63" t="s">
        <v>908</v>
      </c>
    </row>
    <row r="668" ht="11.25" customHeight="1">
      <c r="A668" s="63" t="s">
        <v>2257</v>
      </c>
      <c r="B668" s="63" t="s">
        <v>16</v>
      </c>
      <c r="C668" s="63" t="s">
        <v>3764</v>
      </c>
      <c r="D668" s="63" t="s">
        <v>3765</v>
      </c>
      <c r="E668" s="63" t="s">
        <v>3766</v>
      </c>
      <c r="F668" s="63" t="s">
        <v>2322</v>
      </c>
      <c r="G668" s="63" t="s">
        <v>28</v>
      </c>
      <c r="H668" s="63" t="s">
        <v>28</v>
      </c>
      <c r="I668" s="63" t="s">
        <v>908</v>
      </c>
    </row>
    <row r="669" ht="11.25" customHeight="1">
      <c r="A669" s="63" t="s">
        <v>2257</v>
      </c>
      <c r="B669" s="63" t="s">
        <v>16</v>
      </c>
      <c r="C669" s="63" t="s">
        <v>3454</v>
      </c>
      <c r="D669" s="63" t="s">
        <v>3455</v>
      </c>
      <c r="E669" s="63" t="s">
        <v>3456</v>
      </c>
      <c r="F669" s="63" t="s">
        <v>2288</v>
      </c>
      <c r="G669" s="63" t="s">
        <v>3457</v>
      </c>
      <c r="H669" s="63" t="s">
        <v>28</v>
      </c>
      <c r="I669" s="63" t="s">
        <v>908</v>
      </c>
    </row>
    <row r="670" ht="11.25" customHeight="1">
      <c r="A670" s="63" t="s">
        <v>2257</v>
      </c>
      <c r="B670" s="63" t="s">
        <v>16</v>
      </c>
      <c r="C670" s="63" t="s">
        <v>3464</v>
      </c>
      <c r="D670" s="63" t="s">
        <v>3465</v>
      </c>
      <c r="E670" s="63" t="s">
        <v>3466</v>
      </c>
      <c r="F670" s="63" t="s">
        <v>2485</v>
      </c>
      <c r="G670" s="63" t="s">
        <v>28</v>
      </c>
      <c r="H670" s="63" t="s">
        <v>28</v>
      </c>
      <c r="I670" s="63" t="s">
        <v>908</v>
      </c>
    </row>
    <row r="671" ht="11.25" customHeight="1">
      <c r="A671" s="63" t="s">
        <v>2257</v>
      </c>
      <c r="B671" s="63" t="s">
        <v>16</v>
      </c>
      <c r="C671" s="63" t="s">
        <v>2502</v>
      </c>
      <c r="D671" s="63" t="s">
        <v>2503</v>
      </c>
      <c r="E671" s="63" t="s">
        <v>2504</v>
      </c>
      <c r="F671" s="63" t="s">
        <v>2395</v>
      </c>
      <c r="G671" s="63" t="s">
        <v>2505</v>
      </c>
      <c r="H671" s="63" t="s">
        <v>28</v>
      </c>
      <c r="I671" s="63" t="s">
        <v>908</v>
      </c>
    </row>
    <row r="672" ht="11.25" customHeight="1">
      <c r="A672" s="63" t="s">
        <v>2257</v>
      </c>
      <c r="B672" s="63" t="s">
        <v>16</v>
      </c>
      <c r="C672" s="63" t="s">
        <v>2509</v>
      </c>
      <c r="D672" s="63" t="s">
        <v>2510</v>
      </c>
      <c r="E672" s="63" t="s">
        <v>2511</v>
      </c>
      <c r="F672" s="63" t="s">
        <v>2485</v>
      </c>
      <c r="G672" s="63" t="s">
        <v>28</v>
      </c>
      <c r="H672" s="63" t="s">
        <v>28</v>
      </c>
      <c r="I672" s="63" t="s">
        <v>908</v>
      </c>
    </row>
    <row r="673" ht="11.25" customHeight="1">
      <c r="A673" s="63" t="s">
        <v>2257</v>
      </c>
      <c r="B673" s="63" t="s">
        <v>16</v>
      </c>
      <c r="C673" s="63" t="s">
        <v>3470</v>
      </c>
      <c r="D673" s="63" t="s">
        <v>3471</v>
      </c>
      <c r="E673" s="63" t="s">
        <v>3472</v>
      </c>
      <c r="F673" s="63" t="s">
        <v>2485</v>
      </c>
      <c r="G673" s="63" t="s">
        <v>3473</v>
      </c>
      <c r="H673" s="63" t="s">
        <v>28</v>
      </c>
      <c r="I673" s="63" t="s">
        <v>908</v>
      </c>
    </row>
    <row r="674" ht="11.25" customHeight="1">
      <c r="A674" s="63" t="s">
        <v>2257</v>
      </c>
      <c r="B674" s="63" t="s">
        <v>16</v>
      </c>
      <c r="C674" s="63" t="s">
        <v>28</v>
      </c>
      <c r="D674" s="63" t="s">
        <v>2530</v>
      </c>
      <c r="E674" s="63" t="s">
        <v>2531</v>
      </c>
      <c r="F674" s="63" t="s">
        <v>2275</v>
      </c>
      <c r="G674" s="63" t="s">
        <v>28</v>
      </c>
      <c r="H674" s="63" t="s">
        <v>28</v>
      </c>
      <c r="I674" s="63" t="s">
        <v>908</v>
      </c>
    </row>
    <row r="675" ht="11.25" customHeight="1">
      <c r="A675" s="63" t="s">
        <v>2257</v>
      </c>
      <c r="B675" s="63" t="s">
        <v>16</v>
      </c>
      <c r="C675" s="63" t="s">
        <v>2532</v>
      </c>
      <c r="D675" s="63" t="s">
        <v>2533</v>
      </c>
      <c r="E675" s="63" t="s">
        <v>2534</v>
      </c>
      <c r="F675" s="63" t="s">
        <v>2364</v>
      </c>
      <c r="G675" s="63" t="s">
        <v>2535</v>
      </c>
      <c r="H675" s="63" t="s">
        <v>28</v>
      </c>
      <c r="I675" s="63" t="s">
        <v>908</v>
      </c>
    </row>
    <row r="676" ht="11.25" customHeight="1">
      <c r="A676" s="63" t="s">
        <v>2257</v>
      </c>
      <c r="B676" s="63" t="s">
        <v>16</v>
      </c>
      <c r="C676" s="63" t="s">
        <v>2536</v>
      </c>
      <c r="D676" s="63" t="s">
        <v>2537</v>
      </c>
      <c r="E676" s="63" t="s">
        <v>2538</v>
      </c>
      <c r="F676" s="63" t="s">
        <v>2391</v>
      </c>
      <c r="G676" s="63" t="s">
        <v>28</v>
      </c>
      <c r="H676" s="63" t="s">
        <v>28</v>
      </c>
      <c r="I676" s="63" t="s">
        <v>908</v>
      </c>
    </row>
    <row r="677" ht="11.25" customHeight="1">
      <c r="A677" s="63" t="s">
        <v>2257</v>
      </c>
      <c r="B677" s="63" t="s">
        <v>16</v>
      </c>
      <c r="C677" s="63" t="s">
        <v>3480</v>
      </c>
      <c r="D677" s="63" t="s">
        <v>3481</v>
      </c>
      <c r="E677" s="63" t="s">
        <v>3482</v>
      </c>
      <c r="F677" s="63" t="s">
        <v>2288</v>
      </c>
      <c r="G677" s="63" t="s">
        <v>28</v>
      </c>
      <c r="H677" s="63" t="s">
        <v>28</v>
      </c>
      <c r="I677" s="63" t="s">
        <v>908</v>
      </c>
    </row>
    <row r="678" ht="11.25" customHeight="1">
      <c r="A678" s="63" t="s">
        <v>2257</v>
      </c>
      <c r="B678" s="63" t="s">
        <v>16</v>
      </c>
      <c r="C678" s="63" t="s">
        <v>3392</v>
      </c>
      <c r="D678" s="63" t="s">
        <v>3393</v>
      </c>
      <c r="E678" s="63" t="s">
        <v>3394</v>
      </c>
      <c r="F678" s="63" t="s">
        <v>2298</v>
      </c>
      <c r="G678" s="63" t="s">
        <v>28</v>
      </c>
      <c r="H678" s="63" t="s">
        <v>28</v>
      </c>
      <c r="I678" s="63" t="s">
        <v>908</v>
      </c>
    </row>
    <row r="679" ht="11.25" customHeight="1">
      <c r="A679" s="63" t="s">
        <v>2257</v>
      </c>
      <c r="B679" s="63" t="s">
        <v>16</v>
      </c>
      <c r="C679" s="63" t="s">
        <v>2542</v>
      </c>
      <c r="D679" s="63" t="s">
        <v>2543</v>
      </c>
      <c r="E679" s="63" t="s">
        <v>2544</v>
      </c>
      <c r="F679" s="63" t="s">
        <v>2298</v>
      </c>
      <c r="G679" s="63" t="s">
        <v>28</v>
      </c>
      <c r="H679" s="63" t="s">
        <v>28</v>
      </c>
      <c r="I679" s="63" t="s">
        <v>908</v>
      </c>
    </row>
    <row r="680" ht="11.25" customHeight="1">
      <c r="A680" s="63" t="s">
        <v>2257</v>
      </c>
      <c r="B680" s="63" t="s">
        <v>16</v>
      </c>
      <c r="C680" s="63" t="s">
        <v>2548</v>
      </c>
      <c r="D680" s="63" t="s">
        <v>2549</v>
      </c>
      <c r="E680" s="63" t="s">
        <v>2550</v>
      </c>
      <c r="F680" s="63" t="s">
        <v>2298</v>
      </c>
      <c r="G680" s="63" t="s">
        <v>2551</v>
      </c>
      <c r="H680" s="63" t="s">
        <v>28</v>
      </c>
      <c r="I680" s="63" t="s">
        <v>908</v>
      </c>
    </row>
    <row r="681" ht="11.25" customHeight="1">
      <c r="A681" s="63" t="s">
        <v>2257</v>
      </c>
      <c r="B681" s="63" t="s">
        <v>16</v>
      </c>
      <c r="C681" s="63" t="s">
        <v>3490</v>
      </c>
      <c r="D681" s="63" t="s">
        <v>3491</v>
      </c>
      <c r="E681" s="63" t="s">
        <v>3492</v>
      </c>
      <c r="F681" s="63" t="s">
        <v>2322</v>
      </c>
      <c r="G681" s="63" t="s">
        <v>28</v>
      </c>
      <c r="H681" s="63" t="s">
        <v>28</v>
      </c>
      <c r="I681" s="63" t="s">
        <v>908</v>
      </c>
    </row>
    <row r="682" ht="11.25" customHeight="1">
      <c r="A682" s="63" t="s">
        <v>2257</v>
      </c>
      <c r="B682" s="63" t="s">
        <v>16</v>
      </c>
      <c r="C682" s="63" t="s">
        <v>3493</v>
      </c>
      <c r="D682" s="63" t="s">
        <v>3494</v>
      </c>
      <c r="E682" s="63" t="s">
        <v>3495</v>
      </c>
      <c r="F682" s="63" t="s">
        <v>2569</v>
      </c>
      <c r="G682" s="63" t="s">
        <v>28</v>
      </c>
      <c r="H682" s="63" t="s">
        <v>28</v>
      </c>
      <c r="I682" s="63" t="s">
        <v>908</v>
      </c>
    </row>
    <row r="683" ht="11.25" customHeight="1">
      <c r="A683" s="63" t="s">
        <v>2257</v>
      </c>
      <c r="B683" s="63" t="s">
        <v>16</v>
      </c>
      <c r="C683" s="63" t="s">
        <v>3500</v>
      </c>
      <c r="D683" s="63" t="s">
        <v>3501</v>
      </c>
      <c r="E683" s="63" t="s">
        <v>3502</v>
      </c>
      <c r="F683" s="63" t="s">
        <v>2364</v>
      </c>
      <c r="G683" s="63" t="s">
        <v>28</v>
      </c>
      <c r="H683" s="63" t="s">
        <v>28</v>
      </c>
      <c r="I683" s="63" t="s">
        <v>908</v>
      </c>
    </row>
    <row r="684" ht="11.25" customHeight="1">
      <c r="A684" s="63" t="s">
        <v>2257</v>
      </c>
      <c r="B684" s="63" t="s">
        <v>16</v>
      </c>
      <c r="C684" s="63" t="s">
        <v>2570</v>
      </c>
      <c r="D684" s="63" t="s">
        <v>2571</v>
      </c>
      <c r="E684" s="63" t="s">
        <v>2572</v>
      </c>
      <c r="F684" s="63" t="s">
        <v>2573</v>
      </c>
      <c r="G684" s="63" t="s">
        <v>28</v>
      </c>
      <c r="H684" s="63" t="s">
        <v>28</v>
      </c>
      <c r="I684" s="63" t="s">
        <v>908</v>
      </c>
    </row>
    <row r="685" ht="11.25" customHeight="1">
      <c r="A685" s="63" t="s">
        <v>2257</v>
      </c>
      <c r="B685" s="63" t="s">
        <v>16</v>
      </c>
      <c r="C685" s="63" t="s">
        <v>3503</v>
      </c>
      <c r="D685" s="63" t="s">
        <v>3504</v>
      </c>
      <c r="E685" s="63" t="s">
        <v>3505</v>
      </c>
      <c r="F685" s="63" t="s">
        <v>2364</v>
      </c>
      <c r="G685" s="63" t="s">
        <v>28</v>
      </c>
      <c r="H685" s="63" t="s">
        <v>28</v>
      </c>
      <c r="I685" s="63" t="s">
        <v>908</v>
      </c>
    </row>
    <row r="686" ht="11.25" customHeight="1">
      <c r="A686" s="63" t="s">
        <v>2257</v>
      </c>
      <c r="B686" s="63" t="s">
        <v>16</v>
      </c>
      <c r="C686" s="63" t="s">
        <v>3506</v>
      </c>
      <c r="D686" s="63" t="s">
        <v>3507</v>
      </c>
      <c r="E686" s="63" t="s">
        <v>3508</v>
      </c>
      <c r="F686" s="63" t="s">
        <v>2465</v>
      </c>
      <c r="G686" s="63" t="s">
        <v>28</v>
      </c>
      <c r="H686" s="63" t="s">
        <v>3218</v>
      </c>
      <c r="I686" s="63" t="s">
        <v>908</v>
      </c>
    </row>
    <row r="687" ht="11.25" customHeight="1">
      <c r="A687" s="63" t="s">
        <v>2257</v>
      </c>
      <c r="B687" s="63" t="s">
        <v>16</v>
      </c>
      <c r="C687" s="63" t="s">
        <v>3509</v>
      </c>
      <c r="D687" s="63" t="s">
        <v>3507</v>
      </c>
      <c r="E687" s="63" t="s">
        <v>3510</v>
      </c>
      <c r="F687" s="63" t="s">
        <v>2330</v>
      </c>
      <c r="G687" s="63" t="s">
        <v>28</v>
      </c>
      <c r="H687" s="63" t="s">
        <v>28</v>
      </c>
      <c r="I687" s="63" t="s">
        <v>908</v>
      </c>
    </row>
    <row r="688" ht="11.25" customHeight="1">
      <c r="A688" s="63" t="s">
        <v>2257</v>
      </c>
      <c r="B688" s="63" t="s">
        <v>16</v>
      </c>
      <c r="C688" s="63" t="s">
        <v>3511</v>
      </c>
      <c r="D688" s="63" t="s">
        <v>3512</v>
      </c>
      <c r="E688" s="63" t="s">
        <v>3513</v>
      </c>
      <c r="F688" s="63" t="s">
        <v>3514</v>
      </c>
      <c r="G688" s="63" t="s">
        <v>28</v>
      </c>
      <c r="H688" s="63" t="s">
        <v>28</v>
      </c>
      <c r="I688" s="63" t="s">
        <v>908</v>
      </c>
    </row>
    <row r="689" ht="11.25" customHeight="1">
      <c r="A689" s="63" t="s">
        <v>2257</v>
      </c>
      <c r="B689" s="63" t="s">
        <v>16</v>
      </c>
      <c r="C689" s="63" t="s">
        <v>3515</v>
      </c>
      <c r="D689" s="63" t="s">
        <v>3516</v>
      </c>
      <c r="E689" s="63" t="s">
        <v>3517</v>
      </c>
      <c r="F689" s="63" t="s">
        <v>2573</v>
      </c>
      <c r="G689" s="63" t="s">
        <v>28</v>
      </c>
      <c r="H689" s="63" t="s">
        <v>28</v>
      </c>
      <c r="I689" s="63" t="s">
        <v>908</v>
      </c>
    </row>
    <row r="690" ht="11.25" customHeight="1">
      <c r="A690" s="63" t="s">
        <v>2257</v>
      </c>
      <c r="B690" s="63" t="s">
        <v>16</v>
      </c>
      <c r="C690" s="63" t="s">
        <v>3518</v>
      </c>
      <c r="D690" s="63" t="s">
        <v>3519</v>
      </c>
      <c r="E690" s="63" t="s">
        <v>3520</v>
      </c>
      <c r="F690" s="63" t="s">
        <v>2364</v>
      </c>
      <c r="G690" s="63" t="s">
        <v>28</v>
      </c>
      <c r="H690" s="63" t="s">
        <v>28</v>
      </c>
      <c r="I690" s="63" t="s">
        <v>908</v>
      </c>
    </row>
    <row r="691" ht="11.25" customHeight="1">
      <c r="A691" s="63" t="s">
        <v>2257</v>
      </c>
      <c r="B691" s="63" t="s">
        <v>16</v>
      </c>
      <c r="C691" s="63" t="s">
        <v>2577</v>
      </c>
      <c r="D691" s="63" t="s">
        <v>2578</v>
      </c>
      <c r="E691" s="63" t="s">
        <v>2579</v>
      </c>
      <c r="F691" s="63" t="s">
        <v>2330</v>
      </c>
      <c r="G691" s="63" t="s">
        <v>28</v>
      </c>
      <c r="H691" s="63" t="s">
        <v>28</v>
      </c>
      <c r="I691" s="63" t="s">
        <v>908</v>
      </c>
    </row>
    <row r="692" ht="11.25" customHeight="1">
      <c r="A692" s="63" t="s">
        <v>2257</v>
      </c>
      <c r="B692" s="63" t="s">
        <v>16</v>
      </c>
      <c r="C692" s="63" t="s">
        <v>2584</v>
      </c>
      <c r="D692" s="63" t="s">
        <v>2585</v>
      </c>
      <c r="E692" s="63" t="s">
        <v>2586</v>
      </c>
      <c r="F692" s="63" t="s">
        <v>2298</v>
      </c>
      <c r="G692" s="63" t="s">
        <v>2587</v>
      </c>
      <c r="H692" s="63" t="s">
        <v>28</v>
      </c>
      <c r="I692" s="63" t="s">
        <v>908</v>
      </c>
    </row>
    <row r="693" ht="11.25" customHeight="1">
      <c r="A693" s="63" t="s">
        <v>2257</v>
      </c>
      <c r="B693" s="63" t="s">
        <v>16</v>
      </c>
      <c r="C693" s="63" t="s">
        <v>2593</v>
      </c>
      <c r="D693" s="63" t="s">
        <v>2594</v>
      </c>
      <c r="E693" s="63" t="s">
        <v>2595</v>
      </c>
      <c r="F693" s="63" t="s">
        <v>2407</v>
      </c>
      <c r="G693" s="63" t="s">
        <v>2596</v>
      </c>
      <c r="H693" s="63" t="s">
        <v>28</v>
      </c>
      <c r="I693" s="63" t="s">
        <v>908</v>
      </c>
    </row>
    <row r="694" ht="11.25" customHeight="1">
      <c r="A694" s="63" t="s">
        <v>2257</v>
      </c>
      <c r="B694" s="63" t="s">
        <v>16</v>
      </c>
      <c r="C694" s="63" t="s">
        <v>3521</v>
      </c>
      <c r="D694" s="63" t="s">
        <v>3522</v>
      </c>
      <c r="E694" s="63" t="s">
        <v>3523</v>
      </c>
      <c r="F694" s="63" t="s">
        <v>2407</v>
      </c>
      <c r="G694" s="63" t="s">
        <v>28</v>
      </c>
      <c r="H694" s="63" t="s">
        <v>28</v>
      </c>
      <c r="I694" s="63" t="s">
        <v>908</v>
      </c>
    </row>
    <row r="695" ht="11.25" customHeight="1">
      <c r="A695" s="63" t="s">
        <v>2257</v>
      </c>
      <c r="B695" s="63" t="s">
        <v>16</v>
      </c>
      <c r="C695" s="63" t="s">
        <v>2597</v>
      </c>
      <c r="D695" s="63" t="s">
        <v>2598</v>
      </c>
      <c r="E695" s="63" t="s">
        <v>2599</v>
      </c>
      <c r="F695" s="63" t="s">
        <v>2330</v>
      </c>
      <c r="G695" s="63" t="s">
        <v>2600</v>
      </c>
      <c r="H695" s="63" t="s">
        <v>28</v>
      </c>
      <c r="I695" s="63" t="s">
        <v>908</v>
      </c>
    </row>
    <row r="696" ht="11.25" customHeight="1">
      <c r="A696" s="63" t="s">
        <v>2257</v>
      </c>
      <c r="B696" s="63" t="s">
        <v>16</v>
      </c>
      <c r="C696" s="63" t="s">
        <v>3524</v>
      </c>
      <c r="D696" s="63" t="s">
        <v>3525</v>
      </c>
      <c r="E696" s="63" t="s">
        <v>3526</v>
      </c>
      <c r="F696" s="63" t="s">
        <v>2481</v>
      </c>
      <c r="G696" s="63" t="s">
        <v>28</v>
      </c>
      <c r="H696" s="63" t="s">
        <v>28</v>
      </c>
      <c r="I696" s="63" t="s">
        <v>908</v>
      </c>
    </row>
    <row r="697" ht="11.25" customHeight="1">
      <c r="A697" s="63" t="s">
        <v>2257</v>
      </c>
      <c r="B697" s="63" t="s">
        <v>16</v>
      </c>
      <c r="C697" s="63" t="s">
        <v>2601</v>
      </c>
      <c r="D697" s="63" t="s">
        <v>2602</v>
      </c>
      <c r="E697" s="63" t="s">
        <v>2603</v>
      </c>
      <c r="F697" s="63" t="s">
        <v>2330</v>
      </c>
      <c r="G697" s="63" t="s">
        <v>2604</v>
      </c>
      <c r="H697" s="63" t="s">
        <v>28</v>
      </c>
      <c r="I697" s="63" t="s">
        <v>908</v>
      </c>
    </row>
    <row r="698" ht="11.25" customHeight="1">
      <c r="A698" s="63" t="s">
        <v>2257</v>
      </c>
      <c r="B698" s="63" t="s">
        <v>16</v>
      </c>
      <c r="C698" s="63" t="s">
        <v>2605</v>
      </c>
      <c r="D698" s="63" t="s">
        <v>2606</v>
      </c>
      <c r="E698" s="63" t="s">
        <v>2607</v>
      </c>
      <c r="F698" s="63" t="s">
        <v>2330</v>
      </c>
      <c r="G698" s="63" t="s">
        <v>28</v>
      </c>
      <c r="H698" s="63" t="s">
        <v>2608</v>
      </c>
      <c r="I698" s="63" t="s">
        <v>908</v>
      </c>
    </row>
    <row r="699" ht="11.25" customHeight="1">
      <c r="A699" s="63" t="s">
        <v>2257</v>
      </c>
      <c r="B699" s="63" t="s">
        <v>16</v>
      </c>
      <c r="C699" s="63" t="s">
        <v>2612</v>
      </c>
      <c r="D699" s="63" t="s">
        <v>2613</v>
      </c>
      <c r="E699" s="63" t="s">
        <v>2614</v>
      </c>
      <c r="F699" s="63" t="s">
        <v>2569</v>
      </c>
      <c r="G699" s="63" t="s">
        <v>28</v>
      </c>
      <c r="H699" s="63" t="s">
        <v>28</v>
      </c>
      <c r="I699" s="63" t="s">
        <v>908</v>
      </c>
    </row>
    <row r="700" ht="11.25" customHeight="1">
      <c r="A700" s="63" t="s">
        <v>2257</v>
      </c>
      <c r="B700" s="63" t="s">
        <v>16</v>
      </c>
      <c r="C700" s="63" t="s">
        <v>3530</v>
      </c>
      <c r="D700" s="63" t="s">
        <v>3531</v>
      </c>
      <c r="E700" s="63" t="s">
        <v>3532</v>
      </c>
      <c r="F700" s="63" t="s">
        <v>2391</v>
      </c>
      <c r="G700" s="63" t="s">
        <v>3533</v>
      </c>
      <c r="H700" s="63" t="s">
        <v>28</v>
      </c>
      <c r="I700" s="63" t="s">
        <v>908</v>
      </c>
    </row>
    <row r="701" ht="11.25" customHeight="1">
      <c r="A701" s="63" t="s">
        <v>2257</v>
      </c>
      <c r="B701" s="63" t="s">
        <v>16</v>
      </c>
      <c r="C701" s="63" t="s">
        <v>2622</v>
      </c>
      <c r="D701" s="63" t="s">
        <v>2623</v>
      </c>
      <c r="E701" s="63" t="s">
        <v>2624</v>
      </c>
      <c r="F701" s="63" t="s">
        <v>2569</v>
      </c>
      <c r="G701" s="63" t="s">
        <v>2625</v>
      </c>
      <c r="H701" s="63" t="s">
        <v>28</v>
      </c>
      <c r="I701" s="63" t="s">
        <v>908</v>
      </c>
    </row>
    <row r="702" ht="11.25" customHeight="1">
      <c r="A702" s="63" t="s">
        <v>2257</v>
      </c>
      <c r="B702" s="63" t="s">
        <v>16</v>
      </c>
      <c r="C702" s="63" t="s">
        <v>2626</v>
      </c>
      <c r="D702" s="63" t="s">
        <v>2627</v>
      </c>
      <c r="E702" s="63" t="s">
        <v>2628</v>
      </c>
      <c r="F702" s="63" t="s">
        <v>2403</v>
      </c>
      <c r="G702" s="63" t="s">
        <v>2629</v>
      </c>
      <c r="H702" s="63" t="s">
        <v>28</v>
      </c>
      <c r="I702" s="63" t="s">
        <v>908</v>
      </c>
    </row>
    <row r="703" ht="11.25" customHeight="1">
      <c r="A703" s="63" t="s">
        <v>2257</v>
      </c>
      <c r="B703" s="63" t="s">
        <v>16</v>
      </c>
      <c r="C703" s="63" t="s">
        <v>3534</v>
      </c>
      <c r="D703" s="63" t="s">
        <v>3535</v>
      </c>
      <c r="E703" s="63" t="s">
        <v>3536</v>
      </c>
      <c r="F703" s="63" t="s">
        <v>2330</v>
      </c>
      <c r="G703" s="63" t="s">
        <v>3537</v>
      </c>
      <c r="H703" s="63" t="s">
        <v>28</v>
      </c>
      <c r="I703" s="63" t="s">
        <v>908</v>
      </c>
    </row>
    <row r="704" ht="11.25" customHeight="1">
      <c r="A704" s="63" t="s">
        <v>2257</v>
      </c>
      <c r="B704" s="63" t="s">
        <v>16</v>
      </c>
      <c r="C704" s="63" t="s">
        <v>2634</v>
      </c>
      <c r="D704" s="63" t="s">
        <v>2635</v>
      </c>
      <c r="E704" s="63" t="s">
        <v>2636</v>
      </c>
      <c r="F704" s="63" t="s">
        <v>2330</v>
      </c>
      <c r="G704" s="63" t="s">
        <v>28</v>
      </c>
      <c r="H704" s="63" t="s">
        <v>28</v>
      </c>
      <c r="I704" s="63" t="s">
        <v>908</v>
      </c>
    </row>
    <row r="705" ht="11.25" customHeight="1">
      <c r="A705" s="63" t="s">
        <v>2257</v>
      </c>
      <c r="B705" s="63" t="s">
        <v>16</v>
      </c>
      <c r="C705" s="63" t="s">
        <v>2637</v>
      </c>
      <c r="D705" s="63" t="s">
        <v>2638</v>
      </c>
      <c r="E705" s="63" t="s">
        <v>2639</v>
      </c>
      <c r="F705" s="63" t="s">
        <v>2330</v>
      </c>
      <c r="G705" s="63" t="s">
        <v>2640</v>
      </c>
      <c r="H705" s="63" t="s">
        <v>2641</v>
      </c>
      <c r="I705" s="63" t="s">
        <v>908</v>
      </c>
    </row>
    <row r="706" ht="11.25" customHeight="1">
      <c r="A706" s="63" t="s">
        <v>2257</v>
      </c>
      <c r="B706" s="63" t="s">
        <v>16</v>
      </c>
      <c r="C706" s="63" t="s">
        <v>2642</v>
      </c>
      <c r="D706" s="63" t="s">
        <v>2643</v>
      </c>
      <c r="E706" s="63" t="s">
        <v>2644</v>
      </c>
      <c r="F706" s="63" t="s">
        <v>2569</v>
      </c>
      <c r="G706" s="63" t="s">
        <v>28</v>
      </c>
      <c r="H706" s="63" t="s">
        <v>28</v>
      </c>
      <c r="I706" s="63" t="s">
        <v>908</v>
      </c>
    </row>
    <row r="707" ht="11.25" customHeight="1">
      <c r="A707" s="63" t="s">
        <v>2257</v>
      </c>
      <c r="B707" s="63" t="s">
        <v>16</v>
      </c>
      <c r="C707" s="63" t="s">
        <v>2645</v>
      </c>
      <c r="D707" s="63" t="s">
        <v>2646</v>
      </c>
      <c r="E707" s="63" t="s">
        <v>2647</v>
      </c>
      <c r="F707" s="63" t="s">
        <v>2559</v>
      </c>
      <c r="G707" s="63" t="s">
        <v>2648</v>
      </c>
      <c r="H707" s="63" t="s">
        <v>28</v>
      </c>
      <c r="I707" s="63" t="s">
        <v>908</v>
      </c>
    </row>
    <row r="708" ht="11.25" customHeight="1">
      <c r="A708" s="63" t="s">
        <v>2257</v>
      </c>
      <c r="B708" s="63" t="s">
        <v>16</v>
      </c>
      <c r="C708" s="63" t="s">
        <v>2649</v>
      </c>
      <c r="D708" s="63" t="s">
        <v>2650</v>
      </c>
      <c r="E708" s="63" t="s">
        <v>2651</v>
      </c>
      <c r="F708" s="63" t="s">
        <v>2403</v>
      </c>
      <c r="G708" s="63" t="s">
        <v>2652</v>
      </c>
      <c r="H708" s="63" t="s">
        <v>28</v>
      </c>
      <c r="I708" s="63" t="s">
        <v>908</v>
      </c>
    </row>
    <row r="709" ht="11.25" customHeight="1">
      <c r="A709" s="63" t="s">
        <v>2257</v>
      </c>
      <c r="B709" s="63" t="s">
        <v>16</v>
      </c>
      <c r="C709" s="63" t="s">
        <v>2660</v>
      </c>
      <c r="D709" s="63" t="s">
        <v>2661</v>
      </c>
      <c r="E709" s="63" t="s">
        <v>2662</v>
      </c>
      <c r="F709" s="63" t="s">
        <v>2364</v>
      </c>
      <c r="G709" s="63" t="s">
        <v>2663</v>
      </c>
      <c r="H709" s="63" t="s">
        <v>28</v>
      </c>
      <c r="I709" s="63" t="s">
        <v>908</v>
      </c>
    </row>
    <row r="710" ht="11.25" customHeight="1">
      <c r="A710" s="63" t="s">
        <v>2257</v>
      </c>
      <c r="B710" s="63" t="s">
        <v>16</v>
      </c>
      <c r="C710" s="63" t="s">
        <v>2668</v>
      </c>
      <c r="D710" s="63" t="s">
        <v>2669</v>
      </c>
      <c r="E710" s="63" t="s">
        <v>2670</v>
      </c>
      <c r="F710" s="63" t="s">
        <v>2391</v>
      </c>
      <c r="G710" s="63" t="s">
        <v>28</v>
      </c>
      <c r="H710" s="63" t="s">
        <v>28</v>
      </c>
      <c r="I710" s="63" t="s">
        <v>908</v>
      </c>
    </row>
    <row r="711" ht="11.25" customHeight="1">
      <c r="A711" s="63" t="s">
        <v>2257</v>
      </c>
      <c r="B711" s="63" t="s">
        <v>16</v>
      </c>
      <c r="C711" s="63" t="s">
        <v>3538</v>
      </c>
      <c r="D711" s="63" t="s">
        <v>3539</v>
      </c>
      <c r="E711" s="63" t="s">
        <v>3540</v>
      </c>
      <c r="F711" s="63" t="s">
        <v>2403</v>
      </c>
      <c r="G711" s="63" t="s">
        <v>28</v>
      </c>
      <c r="H711" s="63" t="s">
        <v>28</v>
      </c>
      <c r="I711" s="63" t="s">
        <v>908</v>
      </c>
    </row>
    <row r="712" ht="11.25" customHeight="1">
      <c r="A712" s="63" t="s">
        <v>2257</v>
      </c>
      <c r="B712" s="63" t="s">
        <v>16</v>
      </c>
      <c r="C712" s="63" t="s">
        <v>3545</v>
      </c>
      <c r="D712" s="63" t="s">
        <v>3546</v>
      </c>
      <c r="E712" s="63" t="s">
        <v>3547</v>
      </c>
      <c r="F712" s="63" t="s">
        <v>2354</v>
      </c>
      <c r="G712" s="63" t="s">
        <v>3548</v>
      </c>
      <c r="H712" s="63" t="s">
        <v>28</v>
      </c>
      <c r="I712" s="63" t="s">
        <v>908</v>
      </c>
    </row>
    <row r="713" ht="11.25" customHeight="1">
      <c r="A713" s="63" t="s">
        <v>2257</v>
      </c>
      <c r="B713" s="63" t="s">
        <v>16</v>
      </c>
      <c r="C713" s="63" t="s">
        <v>2674</v>
      </c>
      <c r="D713" s="63" t="s">
        <v>2675</v>
      </c>
      <c r="E713" s="63" t="s">
        <v>2676</v>
      </c>
      <c r="F713" s="63" t="s">
        <v>2298</v>
      </c>
      <c r="G713" s="63" t="s">
        <v>28</v>
      </c>
      <c r="H713" s="63" t="s">
        <v>28</v>
      </c>
      <c r="I713" s="63" t="s">
        <v>908</v>
      </c>
    </row>
    <row r="714" ht="11.25" customHeight="1">
      <c r="A714" s="63" t="s">
        <v>2257</v>
      </c>
      <c r="B714" s="63" t="s">
        <v>16</v>
      </c>
      <c r="C714" s="63" t="s">
        <v>2677</v>
      </c>
      <c r="D714" s="63" t="s">
        <v>2678</v>
      </c>
      <c r="E714" s="63" t="s">
        <v>2679</v>
      </c>
      <c r="F714" s="63" t="s">
        <v>2298</v>
      </c>
      <c r="G714" s="63" t="s">
        <v>2680</v>
      </c>
      <c r="H714" s="63" t="s">
        <v>28</v>
      </c>
      <c r="I714" s="63" t="s">
        <v>908</v>
      </c>
    </row>
    <row r="715" ht="11.25" customHeight="1">
      <c r="A715" s="63" t="s">
        <v>2257</v>
      </c>
      <c r="B715" s="63" t="s">
        <v>16</v>
      </c>
      <c r="C715" s="63" t="s">
        <v>3549</v>
      </c>
      <c r="D715" s="63" t="s">
        <v>3550</v>
      </c>
      <c r="E715" s="63" t="s">
        <v>3551</v>
      </c>
      <c r="F715" s="63" t="s">
        <v>2395</v>
      </c>
      <c r="G715" s="63" t="s">
        <v>28</v>
      </c>
      <c r="H715" s="63" t="s">
        <v>28</v>
      </c>
      <c r="I715" s="63" t="s">
        <v>908</v>
      </c>
    </row>
    <row r="716" ht="11.25" customHeight="1">
      <c r="A716" s="63" t="s">
        <v>2257</v>
      </c>
      <c r="B716" s="63" t="s">
        <v>16</v>
      </c>
      <c r="C716" s="63" t="s">
        <v>2681</v>
      </c>
      <c r="D716" s="63" t="s">
        <v>2682</v>
      </c>
      <c r="E716" s="63" t="s">
        <v>2683</v>
      </c>
      <c r="F716" s="63" t="s">
        <v>2407</v>
      </c>
      <c r="G716" s="63" t="s">
        <v>28</v>
      </c>
      <c r="H716" s="63" t="s">
        <v>28</v>
      </c>
      <c r="I716" s="63" t="s">
        <v>908</v>
      </c>
    </row>
    <row r="717" ht="11.25" customHeight="1">
      <c r="A717" s="63" t="s">
        <v>2257</v>
      </c>
      <c r="B717" s="63" t="s">
        <v>16</v>
      </c>
      <c r="C717" s="63" t="s">
        <v>3552</v>
      </c>
      <c r="D717" s="63" t="s">
        <v>3553</v>
      </c>
      <c r="E717" s="63" t="s">
        <v>3554</v>
      </c>
      <c r="F717" s="63" t="s">
        <v>2288</v>
      </c>
      <c r="G717" s="63" t="s">
        <v>28</v>
      </c>
      <c r="H717" s="63" t="s">
        <v>28</v>
      </c>
      <c r="I717" s="63" t="s">
        <v>908</v>
      </c>
    </row>
    <row r="718" ht="11.25" customHeight="1">
      <c r="A718" s="63" t="s">
        <v>2257</v>
      </c>
      <c r="B718" s="63" t="s">
        <v>16</v>
      </c>
      <c r="C718" s="63" t="s">
        <v>3555</v>
      </c>
      <c r="D718" s="63" t="s">
        <v>3556</v>
      </c>
      <c r="E718" s="63" t="s">
        <v>3557</v>
      </c>
      <c r="F718" s="63" t="s">
        <v>2364</v>
      </c>
      <c r="G718" s="63" t="s">
        <v>28</v>
      </c>
      <c r="H718" s="63" t="s">
        <v>28</v>
      </c>
      <c r="I718" s="63" t="s">
        <v>908</v>
      </c>
    </row>
    <row r="719" ht="11.25" customHeight="1">
      <c r="A719" s="63" t="s">
        <v>2257</v>
      </c>
      <c r="B719" s="63" t="s">
        <v>16</v>
      </c>
      <c r="C719" s="63" t="s">
        <v>2687</v>
      </c>
      <c r="D719" s="63" t="s">
        <v>2688</v>
      </c>
      <c r="E719" s="63" t="s">
        <v>2689</v>
      </c>
      <c r="F719" s="63" t="s">
        <v>2275</v>
      </c>
      <c r="G719" s="63" t="s">
        <v>28</v>
      </c>
      <c r="H719" s="63" t="s">
        <v>28</v>
      </c>
      <c r="I719" s="63" t="s">
        <v>908</v>
      </c>
    </row>
    <row r="720" ht="11.25" customHeight="1">
      <c r="A720" s="63" t="s">
        <v>2257</v>
      </c>
      <c r="B720" s="63" t="s">
        <v>16</v>
      </c>
      <c r="C720" s="63" t="s">
        <v>3558</v>
      </c>
      <c r="D720" s="63" t="s">
        <v>3559</v>
      </c>
      <c r="E720" s="63" t="s">
        <v>3560</v>
      </c>
      <c r="F720" s="63" t="s">
        <v>3561</v>
      </c>
      <c r="G720" s="63" t="s">
        <v>28</v>
      </c>
      <c r="H720" s="63" t="s">
        <v>28</v>
      </c>
      <c r="I720" s="63" t="s">
        <v>908</v>
      </c>
    </row>
    <row r="721" ht="11.25" customHeight="1">
      <c r="A721" s="63" t="s">
        <v>2257</v>
      </c>
      <c r="B721" s="63" t="s">
        <v>16</v>
      </c>
      <c r="C721" s="63" t="s">
        <v>2690</v>
      </c>
      <c r="D721" s="63" t="s">
        <v>2691</v>
      </c>
      <c r="E721" s="63" t="s">
        <v>2692</v>
      </c>
      <c r="F721" s="63" t="s">
        <v>2322</v>
      </c>
      <c r="G721" s="63" t="s">
        <v>28</v>
      </c>
      <c r="H721" s="63" t="s">
        <v>28</v>
      </c>
      <c r="I721" s="63" t="s">
        <v>908</v>
      </c>
    </row>
    <row r="722" ht="11.25" customHeight="1">
      <c r="A722" s="63" t="s">
        <v>2257</v>
      </c>
      <c r="B722" s="63" t="s">
        <v>16</v>
      </c>
      <c r="C722" s="63" t="s">
        <v>2693</v>
      </c>
      <c r="D722" s="63" t="s">
        <v>2694</v>
      </c>
      <c r="E722" s="63" t="s">
        <v>2695</v>
      </c>
      <c r="F722" s="63" t="s">
        <v>2696</v>
      </c>
      <c r="G722" s="63" t="s">
        <v>28</v>
      </c>
      <c r="H722" s="63" t="s">
        <v>28</v>
      </c>
      <c r="I722" s="63" t="s">
        <v>908</v>
      </c>
    </row>
    <row r="723" ht="11.25" customHeight="1">
      <c r="A723" s="63" t="s">
        <v>2257</v>
      </c>
      <c r="B723" s="63" t="s">
        <v>16</v>
      </c>
      <c r="C723" s="63" t="s">
        <v>2697</v>
      </c>
      <c r="D723" s="63" t="s">
        <v>2698</v>
      </c>
      <c r="E723" s="63" t="s">
        <v>2699</v>
      </c>
      <c r="F723" s="63" t="s">
        <v>2481</v>
      </c>
      <c r="G723" s="63" t="s">
        <v>28</v>
      </c>
      <c r="H723" s="63" t="s">
        <v>28</v>
      </c>
      <c r="I723" s="63" t="s">
        <v>908</v>
      </c>
    </row>
    <row r="724" ht="11.25" customHeight="1">
      <c r="A724" s="63" t="s">
        <v>2257</v>
      </c>
      <c r="B724" s="63" t="s">
        <v>16</v>
      </c>
      <c r="C724" s="63" t="s">
        <v>2700</v>
      </c>
      <c r="D724" s="63" t="s">
        <v>2701</v>
      </c>
      <c r="E724" s="63" t="s">
        <v>2702</v>
      </c>
      <c r="F724" s="63" t="s">
        <v>2293</v>
      </c>
      <c r="G724" s="63" t="s">
        <v>28</v>
      </c>
      <c r="H724" s="63" t="s">
        <v>28</v>
      </c>
      <c r="I724" s="63" t="s">
        <v>908</v>
      </c>
    </row>
    <row r="725" ht="11.25" customHeight="1">
      <c r="A725" s="63" t="s">
        <v>2257</v>
      </c>
      <c r="B725" s="63" t="s">
        <v>16</v>
      </c>
      <c r="C725" s="63" t="s">
        <v>2703</v>
      </c>
      <c r="D725" s="63" t="s">
        <v>2704</v>
      </c>
      <c r="E725" s="63" t="s">
        <v>2705</v>
      </c>
      <c r="F725" s="63" t="s">
        <v>2288</v>
      </c>
      <c r="G725" s="63" t="s">
        <v>28</v>
      </c>
      <c r="H725" s="63" t="s">
        <v>28</v>
      </c>
      <c r="I725" s="63" t="s">
        <v>908</v>
      </c>
    </row>
    <row r="726" ht="11.25" customHeight="1">
      <c r="A726" s="63" t="s">
        <v>2257</v>
      </c>
      <c r="B726" s="63" t="s">
        <v>16</v>
      </c>
      <c r="C726" s="63" t="s">
        <v>2706</v>
      </c>
      <c r="D726" s="63" t="s">
        <v>2707</v>
      </c>
      <c r="E726" s="63" t="s">
        <v>2708</v>
      </c>
      <c r="F726" s="63" t="s">
        <v>2569</v>
      </c>
      <c r="G726" s="63" t="s">
        <v>2709</v>
      </c>
      <c r="H726" s="63" t="s">
        <v>28</v>
      </c>
      <c r="I726" s="63" t="s">
        <v>908</v>
      </c>
    </row>
    <row r="727" ht="11.25" customHeight="1">
      <c r="A727" s="63" t="s">
        <v>2257</v>
      </c>
      <c r="B727" s="63" t="s">
        <v>16</v>
      </c>
      <c r="C727" s="63" t="s">
        <v>3562</v>
      </c>
      <c r="D727" s="63" t="s">
        <v>3563</v>
      </c>
      <c r="E727" s="63" t="s">
        <v>3564</v>
      </c>
      <c r="F727" s="63" t="s">
        <v>2403</v>
      </c>
      <c r="G727" s="63" t="s">
        <v>3243</v>
      </c>
      <c r="H727" s="63" t="s">
        <v>28</v>
      </c>
      <c r="I727" s="63" t="s">
        <v>908</v>
      </c>
    </row>
    <row r="728" ht="11.25" customHeight="1">
      <c r="A728" s="63" t="s">
        <v>2257</v>
      </c>
      <c r="B728" s="63" t="s">
        <v>16</v>
      </c>
      <c r="C728" s="63" t="s">
        <v>2723</v>
      </c>
      <c r="D728" s="63" t="s">
        <v>2724</v>
      </c>
      <c r="E728" s="63" t="s">
        <v>2725</v>
      </c>
      <c r="F728" s="63" t="s">
        <v>2395</v>
      </c>
      <c r="G728" s="63" t="s">
        <v>28</v>
      </c>
      <c r="H728" s="63" t="s">
        <v>28</v>
      </c>
      <c r="I728" s="63" t="s">
        <v>908</v>
      </c>
    </row>
    <row r="729" ht="11.25" customHeight="1">
      <c r="A729" s="63" t="s">
        <v>2257</v>
      </c>
      <c r="B729" s="63" t="s">
        <v>16</v>
      </c>
      <c r="C729" s="63" t="s">
        <v>3569</v>
      </c>
      <c r="D729" s="63" t="s">
        <v>3570</v>
      </c>
      <c r="E729" s="63" t="s">
        <v>3571</v>
      </c>
      <c r="F729" s="63" t="s">
        <v>2591</v>
      </c>
      <c r="G729" s="63" t="s">
        <v>28</v>
      </c>
      <c r="H729" s="63" t="s">
        <v>28</v>
      </c>
      <c r="I729" s="63" t="s">
        <v>908</v>
      </c>
    </row>
    <row r="730" ht="11.25" customHeight="1">
      <c r="A730" s="63" t="s">
        <v>2257</v>
      </c>
      <c r="B730" s="63" t="s">
        <v>16</v>
      </c>
      <c r="C730" s="63" t="s">
        <v>3572</v>
      </c>
      <c r="D730" s="63" t="s">
        <v>3573</v>
      </c>
      <c r="E730" s="63" t="s">
        <v>3574</v>
      </c>
      <c r="F730" s="63" t="s">
        <v>2569</v>
      </c>
      <c r="G730" s="63" t="s">
        <v>28</v>
      </c>
      <c r="H730" s="63" t="s">
        <v>28</v>
      </c>
      <c r="I730" s="63" t="s">
        <v>908</v>
      </c>
    </row>
    <row r="731" ht="11.25" customHeight="1">
      <c r="A731" s="63" t="s">
        <v>2257</v>
      </c>
      <c r="B731" s="63" t="s">
        <v>16</v>
      </c>
      <c r="C731" s="63" t="s">
        <v>3575</v>
      </c>
      <c r="D731" s="63" t="s">
        <v>3576</v>
      </c>
      <c r="E731" s="63" t="s">
        <v>3577</v>
      </c>
      <c r="F731" s="63" t="s">
        <v>2485</v>
      </c>
      <c r="G731" s="63" t="s">
        <v>28</v>
      </c>
      <c r="H731" s="63" t="s">
        <v>28</v>
      </c>
      <c r="I731" s="63" t="s">
        <v>908</v>
      </c>
    </row>
    <row r="732" ht="11.25" customHeight="1">
      <c r="A732" s="63" t="s">
        <v>2257</v>
      </c>
      <c r="B732" s="63" t="s">
        <v>16</v>
      </c>
      <c r="C732" s="63" t="s">
        <v>2737</v>
      </c>
      <c r="D732" s="63" t="s">
        <v>2738</v>
      </c>
      <c r="E732" s="63" t="s">
        <v>2739</v>
      </c>
      <c r="F732" s="63" t="s">
        <v>2391</v>
      </c>
      <c r="G732" s="63" t="s">
        <v>28</v>
      </c>
      <c r="H732" s="63" t="s">
        <v>28</v>
      </c>
      <c r="I732" s="63" t="s">
        <v>908</v>
      </c>
    </row>
    <row r="733" ht="11.25" customHeight="1">
      <c r="A733" s="63" t="s">
        <v>2257</v>
      </c>
      <c r="B733" s="63" t="s">
        <v>16</v>
      </c>
      <c r="C733" s="63" t="s">
        <v>3582</v>
      </c>
      <c r="D733" s="63" t="s">
        <v>3583</v>
      </c>
      <c r="E733" s="63" t="s">
        <v>3584</v>
      </c>
      <c r="F733" s="63" t="s">
        <v>2298</v>
      </c>
      <c r="G733" s="63" t="s">
        <v>28</v>
      </c>
      <c r="H733" s="63" t="s">
        <v>28</v>
      </c>
      <c r="I733" s="63" t="s">
        <v>908</v>
      </c>
    </row>
    <row r="734" ht="11.25" customHeight="1">
      <c r="A734" s="63" t="s">
        <v>2257</v>
      </c>
      <c r="B734" s="63" t="s">
        <v>16</v>
      </c>
      <c r="C734" s="63" t="s">
        <v>2744</v>
      </c>
      <c r="D734" s="63" t="s">
        <v>2745</v>
      </c>
      <c r="E734" s="63" t="s">
        <v>2746</v>
      </c>
      <c r="F734" s="63" t="s">
        <v>2364</v>
      </c>
      <c r="G734" s="63" t="s">
        <v>28</v>
      </c>
      <c r="H734" s="63" t="s">
        <v>28</v>
      </c>
      <c r="I734" s="63" t="s">
        <v>908</v>
      </c>
    </row>
    <row r="735" ht="11.25" customHeight="1">
      <c r="A735" s="63" t="s">
        <v>2257</v>
      </c>
      <c r="B735" s="63" t="s">
        <v>16</v>
      </c>
      <c r="C735" s="63" t="s">
        <v>3395</v>
      </c>
      <c r="D735" s="63" t="s">
        <v>3396</v>
      </c>
      <c r="E735" s="63" t="s">
        <v>3397</v>
      </c>
      <c r="F735" s="63" t="s">
        <v>2322</v>
      </c>
      <c r="G735" s="63" t="s">
        <v>3398</v>
      </c>
      <c r="H735" s="63" t="s">
        <v>28</v>
      </c>
      <c r="I735" s="63" t="s">
        <v>908</v>
      </c>
    </row>
    <row r="736" ht="11.25" customHeight="1">
      <c r="A736" s="63" t="s">
        <v>2257</v>
      </c>
      <c r="B736" s="63" t="s">
        <v>16</v>
      </c>
      <c r="C736" s="63" t="s">
        <v>2747</v>
      </c>
      <c r="D736" s="63" t="s">
        <v>2748</v>
      </c>
      <c r="E736" s="63" t="s">
        <v>2749</v>
      </c>
      <c r="F736" s="63" t="s">
        <v>2750</v>
      </c>
      <c r="G736" s="63" t="s">
        <v>2751</v>
      </c>
      <c r="H736" s="63" t="s">
        <v>28</v>
      </c>
      <c r="I736" s="63" t="s">
        <v>908</v>
      </c>
    </row>
    <row r="737" ht="11.25" customHeight="1">
      <c r="A737" s="63" t="s">
        <v>2257</v>
      </c>
      <c r="B737" s="63" t="s">
        <v>16</v>
      </c>
      <c r="C737" s="63" t="s">
        <v>3585</v>
      </c>
      <c r="D737" s="63" t="s">
        <v>3586</v>
      </c>
      <c r="E737" s="63" t="s">
        <v>3587</v>
      </c>
      <c r="F737" s="63" t="s">
        <v>2391</v>
      </c>
      <c r="G737" s="63" t="s">
        <v>3588</v>
      </c>
      <c r="H737" s="63" t="s">
        <v>28</v>
      </c>
      <c r="I737" s="63" t="s">
        <v>908</v>
      </c>
    </row>
    <row r="738" ht="11.25" customHeight="1">
      <c r="A738" s="63" t="s">
        <v>2257</v>
      </c>
      <c r="B738" s="63" t="s">
        <v>16</v>
      </c>
      <c r="C738" s="63" t="s">
        <v>3589</v>
      </c>
      <c r="D738" s="63" t="s">
        <v>3590</v>
      </c>
      <c r="E738" s="63" t="s">
        <v>3591</v>
      </c>
      <c r="F738" s="63" t="s">
        <v>2391</v>
      </c>
      <c r="G738" s="63" t="s">
        <v>3592</v>
      </c>
      <c r="H738" s="63" t="s">
        <v>28</v>
      </c>
      <c r="I738" s="63" t="s">
        <v>908</v>
      </c>
    </row>
    <row r="739" ht="11.25" customHeight="1">
      <c r="A739" s="63" t="s">
        <v>2257</v>
      </c>
      <c r="B739" s="63" t="s">
        <v>16</v>
      </c>
      <c r="C739" s="63" t="s">
        <v>3593</v>
      </c>
      <c r="D739" s="63" t="s">
        <v>3594</v>
      </c>
      <c r="E739" s="63" t="s">
        <v>3595</v>
      </c>
      <c r="F739" s="63" t="s">
        <v>2485</v>
      </c>
      <c r="G739" s="63" t="s">
        <v>3596</v>
      </c>
      <c r="H739" s="63" t="s">
        <v>28</v>
      </c>
      <c r="I739" s="63" t="s">
        <v>908</v>
      </c>
    </row>
    <row r="740" ht="11.25" customHeight="1">
      <c r="A740" s="63" t="s">
        <v>2257</v>
      </c>
      <c r="B740" s="63" t="s">
        <v>16</v>
      </c>
      <c r="C740" s="63" t="s">
        <v>3597</v>
      </c>
      <c r="D740" s="63" t="s">
        <v>3598</v>
      </c>
      <c r="E740" s="63" t="s">
        <v>3599</v>
      </c>
      <c r="F740" s="63" t="s">
        <v>2395</v>
      </c>
      <c r="G740" s="63" t="s">
        <v>28</v>
      </c>
      <c r="H740" s="63" t="s">
        <v>28</v>
      </c>
      <c r="I740" s="63" t="s">
        <v>908</v>
      </c>
    </row>
    <row r="741" ht="11.25" customHeight="1">
      <c r="A741" s="63" t="s">
        <v>2257</v>
      </c>
      <c r="B741" s="63" t="s">
        <v>16</v>
      </c>
      <c r="C741" s="63" t="s">
        <v>3600</v>
      </c>
      <c r="D741" s="63" t="s">
        <v>3601</v>
      </c>
      <c r="E741" s="63" t="s">
        <v>3602</v>
      </c>
      <c r="F741" s="63" t="s">
        <v>2298</v>
      </c>
      <c r="G741" s="63" t="s">
        <v>28</v>
      </c>
      <c r="H741" s="63" t="s">
        <v>28</v>
      </c>
      <c r="I741" s="63" t="s">
        <v>908</v>
      </c>
    </row>
    <row r="742" ht="11.25" customHeight="1">
      <c r="A742" s="63" t="s">
        <v>2257</v>
      </c>
      <c r="B742" s="63" t="s">
        <v>16</v>
      </c>
      <c r="C742" s="63" t="s">
        <v>3603</v>
      </c>
      <c r="D742" s="63" t="s">
        <v>3604</v>
      </c>
      <c r="E742" s="63" t="s">
        <v>3605</v>
      </c>
      <c r="F742" s="63" t="s">
        <v>2288</v>
      </c>
      <c r="G742" s="63" t="s">
        <v>28</v>
      </c>
      <c r="H742" s="63" t="s">
        <v>28</v>
      </c>
      <c r="I742" s="63" t="s">
        <v>908</v>
      </c>
    </row>
    <row r="743" ht="11.25" customHeight="1">
      <c r="A743" s="63" t="s">
        <v>2257</v>
      </c>
      <c r="B743" s="63" t="s">
        <v>16</v>
      </c>
      <c r="C743" s="63" t="s">
        <v>3606</v>
      </c>
      <c r="D743" s="63" t="s">
        <v>3607</v>
      </c>
      <c r="E743" s="63" t="s">
        <v>3608</v>
      </c>
      <c r="F743" s="63" t="s">
        <v>3609</v>
      </c>
      <c r="G743" s="63" t="s">
        <v>28</v>
      </c>
      <c r="H743" s="63" t="s">
        <v>28</v>
      </c>
      <c r="I743" s="63" t="s">
        <v>908</v>
      </c>
    </row>
    <row r="744" ht="11.25" customHeight="1">
      <c r="A744" s="63" t="s">
        <v>2257</v>
      </c>
      <c r="B744" s="63" t="s">
        <v>16</v>
      </c>
      <c r="C744" s="63" t="s">
        <v>2756</v>
      </c>
      <c r="D744" s="63" t="s">
        <v>2757</v>
      </c>
      <c r="E744" s="63" t="s">
        <v>2758</v>
      </c>
      <c r="F744" s="63" t="s">
        <v>2364</v>
      </c>
      <c r="G744" s="63" t="s">
        <v>28</v>
      </c>
      <c r="H744" s="63" t="s">
        <v>28</v>
      </c>
      <c r="I744" s="63" t="s">
        <v>908</v>
      </c>
    </row>
    <row r="745" ht="11.25" customHeight="1">
      <c r="A745" s="63" t="s">
        <v>2257</v>
      </c>
      <c r="B745" s="63" t="s">
        <v>16</v>
      </c>
      <c r="C745" s="63" t="s">
        <v>2780</v>
      </c>
      <c r="D745" s="63" t="s">
        <v>2781</v>
      </c>
      <c r="E745" s="63" t="s">
        <v>2782</v>
      </c>
      <c r="F745" s="63" t="s">
        <v>2391</v>
      </c>
      <c r="G745" s="63" t="s">
        <v>28</v>
      </c>
      <c r="H745" s="63" t="s">
        <v>28</v>
      </c>
      <c r="I745" s="63" t="s">
        <v>908</v>
      </c>
    </row>
    <row r="746" ht="11.25" customHeight="1">
      <c r="A746" s="63" t="s">
        <v>2257</v>
      </c>
      <c r="B746" s="63" t="s">
        <v>16</v>
      </c>
      <c r="C746" s="63" t="s">
        <v>3610</v>
      </c>
      <c r="D746" s="63" t="s">
        <v>3611</v>
      </c>
      <c r="E746" s="63" t="s">
        <v>3612</v>
      </c>
      <c r="F746" s="63" t="s">
        <v>2298</v>
      </c>
      <c r="G746" s="63" t="s">
        <v>28</v>
      </c>
      <c r="H746" s="63" t="s">
        <v>28</v>
      </c>
      <c r="I746" s="63" t="s">
        <v>908</v>
      </c>
    </row>
    <row r="747" ht="11.25" customHeight="1">
      <c r="A747" s="63" t="s">
        <v>2257</v>
      </c>
      <c r="B747" s="63" t="s">
        <v>16</v>
      </c>
      <c r="C747" s="63" t="s">
        <v>3767</v>
      </c>
      <c r="D747" s="63" t="s">
        <v>3768</v>
      </c>
      <c r="E747" s="63" t="s">
        <v>3769</v>
      </c>
      <c r="F747" s="63" t="s">
        <v>2298</v>
      </c>
      <c r="G747" s="63" t="s">
        <v>28</v>
      </c>
      <c r="H747" s="63" t="s">
        <v>28</v>
      </c>
      <c r="I747" s="63" t="s">
        <v>908</v>
      </c>
    </row>
    <row r="748" ht="11.25" customHeight="1">
      <c r="A748" s="63" t="s">
        <v>2257</v>
      </c>
      <c r="B748" s="63" t="s">
        <v>16</v>
      </c>
      <c r="C748" s="63" t="s">
        <v>3617</v>
      </c>
      <c r="D748" s="63" t="s">
        <v>3618</v>
      </c>
      <c r="E748" s="63" t="s">
        <v>3619</v>
      </c>
      <c r="F748" s="63" t="s">
        <v>2364</v>
      </c>
      <c r="G748" s="63" t="s">
        <v>28</v>
      </c>
      <c r="H748" s="63" t="s">
        <v>28</v>
      </c>
      <c r="I748" s="63" t="s">
        <v>908</v>
      </c>
    </row>
    <row r="749" ht="11.25" customHeight="1">
      <c r="A749" s="63" t="s">
        <v>2257</v>
      </c>
      <c r="B749" s="63" t="s">
        <v>16</v>
      </c>
      <c r="C749" s="63" t="s">
        <v>3620</v>
      </c>
      <c r="D749" s="63" t="s">
        <v>3621</v>
      </c>
      <c r="E749" s="63" t="s">
        <v>3622</v>
      </c>
      <c r="F749" s="63" t="s">
        <v>2275</v>
      </c>
      <c r="G749" s="63" t="s">
        <v>28</v>
      </c>
      <c r="H749" s="63" t="s">
        <v>28</v>
      </c>
      <c r="I749" s="63" t="s">
        <v>908</v>
      </c>
    </row>
    <row r="750" ht="11.25" customHeight="1">
      <c r="A750" s="63" t="s">
        <v>2257</v>
      </c>
      <c r="B750" s="63" t="s">
        <v>16</v>
      </c>
      <c r="C750" s="63" t="s">
        <v>2806</v>
      </c>
      <c r="D750" s="63" t="s">
        <v>2807</v>
      </c>
      <c r="E750" s="63" t="s">
        <v>2808</v>
      </c>
      <c r="F750" s="63" t="s">
        <v>2407</v>
      </c>
      <c r="G750" s="63" t="s">
        <v>28</v>
      </c>
      <c r="H750" s="63" t="s">
        <v>28</v>
      </c>
      <c r="I750" s="63" t="s">
        <v>908</v>
      </c>
    </row>
    <row r="751" ht="11.25" customHeight="1">
      <c r="A751" s="63" t="s">
        <v>2257</v>
      </c>
      <c r="B751" s="63" t="s">
        <v>16</v>
      </c>
      <c r="C751" s="63" t="s">
        <v>2812</v>
      </c>
      <c r="D751" s="63" t="s">
        <v>2813</v>
      </c>
      <c r="E751" s="63" t="s">
        <v>2814</v>
      </c>
      <c r="F751" s="63" t="s">
        <v>2407</v>
      </c>
      <c r="G751" s="63" t="s">
        <v>2815</v>
      </c>
      <c r="H751" s="63" t="s">
        <v>28</v>
      </c>
      <c r="I751" s="63" t="s">
        <v>908</v>
      </c>
    </row>
    <row r="752" ht="11.25" customHeight="1">
      <c r="A752" s="63" t="s">
        <v>2257</v>
      </c>
      <c r="B752" s="63" t="s">
        <v>16</v>
      </c>
      <c r="C752" s="63" t="s">
        <v>2845</v>
      </c>
      <c r="D752" s="63" t="s">
        <v>2846</v>
      </c>
      <c r="E752" s="63" t="s">
        <v>2847</v>
      </c>
      <c r="F752" s="63" t="s">
        <v>2330</v>
      </c>
      <c r="G752" s="63" t="s">
        <v>28</v>
      </c>
      <c r="H752" s="63" t="s">
        <v>28</v>
      </c>
      <c r="I752" s="63" t="s">
        <v>908</v>
      </c>
    </row>
    <row r="753" ht="11.25" customHeight="1">
      <c r="A753" s="63" t="s">
        <v>2257</v>
      </c>
      <c r="B753" s="63" t="s">
        <v>16</v>
      </c>
      <c r="C753" s="63" t="s">
        <v>2848</v>
      </c>
      <c r="D753" s="63" t="s">
        <v>2849</v>
      </c>
      <c r="E753" s="63" t="s">
        <v>2850</v>
      </c>
      <c r="F753" s="63" t="s">
        <v>2293</v>
      </c>
      <c r="G753" s="63" t="s">
        <v>28</v>
      </c>
      <c r="H753" s="63" t="s">
        <v>28</v>
      </c>
      <c r="I753" s="63" t="s">
        <v>908</v>
      </c>
    </row>
    <row r="754" ht="11.25" customHeight="1">
      <c r="A754" s="63" t="s">
        <v>2257</v>
      </c>
      <c r="B754" s="63" t="s">
        <v>16</v>
      </c>
      <c r="C754" s="63" t="s">
        <v>3626</v>
      </c>
      <c r="D754" s="63" t="s">
        <v>3627</v>
      </c>
      <c r="E754" s="63" t="s">
        <v>3628</v>
      </c>
      <c r="F754" s="63" t="s">
        <v>2395</v>
      </c>
      <c r="G754" s="63" t="s">
        <v>3629</v>
      </c>
      <c r="H754" s="63" t="s">
        <v>28</v>
      </c>
      <c r="I754" s="63" t="s">
        <v>908</v>
      </c>
    </row>
    <row r="755" ht="11.25" customHeight="1">
      <c r="A755" s="63" t="s">
        <v>2257</v>
      </c>
      <c r="B755" s="63" t="s">
        <v>16</v>
      </c>
      <c r="C755" s="63" t="s">
        <v>3630</v>
      </c>
      <c r="D755" s="63" t="s">
        <v>3631</v>
      </c>
      <c r="E755" s="63" t="s">
        <v>3632</v>
      </c>
      <c r="F755" s="63" t="s">
        <v>2330</v>
      </c>
      <c r="G755" s="63" t="s">
        <v>3633</v>
      </c>
      <c r="H755" s="63" t="s">
        <v>28</v>
      </c>
      <c r="I755" s="63" t="s">
        <v>908</v>
      </c>
    </row>
    <row r="756" ht="11.25" customHeight="1">
      <c r="A756" s="63" t="s">
        <v>2257</v>
      </c>
      <c r="B756" s="63" t="s">
        <v>16</v>
      </c>
      <c r="C756" s="63" t="s">
        <v>3770</v>
      </c>
      <c r="D756" s="63" t="s">
        <v>3771</v>
      </c>
      <c r="E756" s="63" t="s">
        <v>3772</v>
      </c>
      <c r="F756" s="63" t="s">
        <v>2591</v>
      </c>
      <c r="G756" s="63" t="s">
        <v>28</v>
      </c>
      <c r="H756" s="63" t="s">
        <v>28</v>
      </c>
      <c r="I756" s="63" t="s">
        <v>908</v>
      </c>
    </row>
    <row r="757" ht="11.25" customHeight="1">
      <c r="A757" s="63" t="s">
        <v>2257</v>
      </c>
      <c r="B757" s="63" t="s">
        <v>16</v>
      </c>
      <c r="C757" s="63" t="s">
        <v>3634</v>
      </c>
      <c r="D757" s="63" t="s">
        <v>3635</v>
      </c>
      <c r="E757" s="63" t="s">
        <v>3636</v>
      </c>
      <c r="F757" s="63" t="s">
        <v>2485</v>
      </c>
      <c r="G757" s="63" t="s">
        <v>28</v>
      </c>
      <c r="H757" s="63" t="s">
        <v>28</v>
      </c>
      <c r="I757" s="63" t="s">
        <v>908</v>
      </c>
    </row>
    <row r="758" ht="11.25" customHeight="1">
      <c r="A758" s="63" t="s">
        <v>2257</v>
      </c>
      <c r="B758" s="63" t="s">
        <v>16</v>
      </c>
      <c r="C758" s="63" t="s">
        <v>2877</v>
      </c>
      <c r="D758" s="63" t="s">
        <v>2878</v>
      </c>
      <c r="E758" s="63" t="s">
        <v>2879</v>
      </c>
      <c r="F758" s="63" t="s">
        <v>2306</v>
      </c>
      <c r="G758" s="63" t="s">
        <v>2880</v>
      </c>
      <c r="H758" s="63" t="s">
        <v>28</v>
      </c>
      <c r="I758" s="63" t="s">
        <v>908</v>
      </c>
    </row>
    <row r="759" ht="11.25" customHeight="1">
      <c r="A759" s="63" t="s">
        <v>2257</v>
      </c>
      <c r="B759" s="63" t="s">
        <v>16</v>
      </c>
      <c r="C759" s="63" t="s">
        <v>3637</v>
      </c>
      <c r="D759" s="63" t="s">
        <v>3638</v>
      </c>
      <c r="E759" s="63" t="s">
        <v>3639</v>
      </c>
      <c r="F759" s="63" t="s">
        <v>3640</v>
      </c>
      <c r="G759" s="63" t="s">
        <v>28</v>
      </c>
      <c r="H759" s="63" t="s">
        <v>28</v>
      </c>
      <c r="I759" s="63" t="s">
        <v>908</v>
      </c>
    </row>
    <row r="760" ht="11.25" customHeight="1">
      <c r="A760" s="63" t="s">
        <v>2257</v>
      </c>
      <c r="B760" s="63" t="s">
        <v>16</v>
      </c>
      <c r="C760" s="63" t="s">
        <v>3641</v>
      </c>
      <c r="D760" s="63" t="s">
        <v>3642</v>
      </c>
      <c r="E760" s="63" t="s">
        <v>3643</v>
      </c>
      <c r="F760" s="63" t="s">
        <v>2288</v>
      </c>
      <c r="G760" s="63" t="s">
        <v>3644</v>
      </c>
      <c r="H760" s="63" t="s">
        <v>3645</v>
      </c>
      <c r="I760" s="63" t="s">
        <v>908</v>
      </c>
    </row>
    <row r="761" ht="11.25" customHeight="1">
      <c r="A761" s="63" t="s">
        <v>2257</v>
      </c>
      <c r="B761" s="63" t="s">
        <v>16</v>
      </c>
      <c r="C761" s="63" t="s">
        <v>2895</v>
      </c>
      <c r="D761" s="63" t="s">
        <v>2896</v>
      </c>
      <c r="E761" s="63" t="s">
        <v>2897</v>
      </c>
      <c r="F761" s="63" t="s">
        <v>2407</v>
      </c>
      <c r="G761" s="63" t="s">
        <v>2898</v>
      </c>
      <c r="H761" s="63" t="s">
        <v>28</v>
      </c>
      <c r="I761" s="63" t="s">
        <v>908</v>
      </c>
    </row>
    <row r="762" ht="11.25" customHeight="1">
      <c r="A762" s="63" t="s">
        <v>2257</v>
      </c>
      <c r="B762" s="63" t="s">
        <v>16</v>
      </c>
      <c r="C762" s="63" t="s">
        <v>2899</v>
      </c>
      <c r="D762" s="63" t="s">
        <v>2900</v>
      </c>
      <c r="E762" s="63" t="s">
        <v>2901</v>
      </c>
      <c r="F762" s="63" t="s">
        <v>2306</v>
      </c>
      <c r="G762" s="63" t="s">
        <v>2902</v>
      </c>
      <c r="H762" s="63" t="s">
        <v>28</v>
      </c>
      <c r="I762" s="63" t="s">
        <v>908</v>
      </c>
    </row>
    <row r="763" ht="11.25" customHeight="1">
      <c r="A763" s="63" t="s">
        <v>2257</v>
      </c>
      <c r="B763" s="63" t="s">
        <v>16</v>
      </c>
      <c r="C763" s="63" t="s">
        <v>3646</v>
      </c>
      <c r="D763" s="63" t="s">
        <v>3647</v>
      </c>
      <c r="E763" s="63" t="s">
        <v>3648</v>
      </c>
      <c r="F763" s="63" t="s">
        <v>2591</v>
      </c>
      <c r="G763" s="63" t="s">
        <v>28</v>
      </c>
      <c r="H763" s="63" t="s">
        <v>28</v>
      </c>
      <c r="I763" s="63" t="s">
        <v>908</v>
      </c>
    </row>
    <row r="764" ht="11.25" customHeight="1">
      <c r="A764" s="63" t="s">
        <v>2257</v>
      </c>
      <c r="B764" s="63" t="s">
        <v>16</v>
      </c>
      <c r="C764" s="63" t="s">
        <v>2944</v>
      </c>
      <c r="D764" s="63" t="s">
        <v>2945</v>
      </c>
      <c r="E764" s="63" t="s">
        <v>2946</v>
      </c>
      <c r="F764" s="63" t="s">
        <v>2288</v>
      </c>
      <c r="G764" s="63" t="s">
        <v>28</v>
      </c>
      <c r="H764" s="63" t="s">
        <v>28</v>
      </c>
      <c r="I764" s="63" t="s">
        <v>908</v>
      </c>
    </row>
    <row r="765" ht="11.25" customHeight="1">
      <c r="A765" s="63" t="s">
        <v>2257</v>
      </c>
      <c r="B765" s="63" t="s">
        <v>16</v>
      </c>
      <c r="C765" s="63" t="s">
        <v>3649</v>
      </c>
      <c r="D765" s="63" t="s">
        <v>3650</v>
      </c>
      <c r="E765" s="63" t="s">
        <v>3651</v>
      </c>
      <c r="F765" s="63" t="s">
        <v>3652</v>
      </c>
      <c r="G765" s="63" t="s">
        <v>28</v>
      </c>
      <c r="H765" s="63" t="s">
        <v>28</v>
      </c>
      <c r="I765" s="63" t="s">
        <v>908</v>
      </c>
    </row>
    <row r="766" ht="11.25" customHeight="1">
      <c r="A766" s="63" t="s">
        <v>2257</v>
      </c>
      <c r="B766" s="63" t="s">
        <v>16</v>
      </c>
      <c r="C766" s="63" t="s">
        <v>3773</v>
      </c>
      <c r="D766" s="63" t="s">
        <v>3774</v>
      </c>
      <c r="E766" s="63" t="s">
        <v>3775</v>
      </c>
      <c r="F766" s="63" t="s">
        <v>2569</v>
      </c>
      <c r="G766" s="63" t="s">
        <v>28</v>
      </c>
      <c r="H766" s="63" t="s">
        <v>28</v>
      </c>
      <c r="I766" s="63" t="s">
        <v>908</v>
      </c>
    </row>
    <row r="767" ht="11.25" customHeight="1">
      <c r="A767" s="63" t="s">
        <v>2257</v>
      </c>
      <c r="B767" s="63" t="s">
        <v>16</v>
      </c>
      <c r="C767" s="63" t="s">
        <v>2980</v>
      </c>
      <c r="D767" s="63" t="s">
        <v>2981</v>
      </c>
      <c r="E767" s="63" t="s">
        <v>2982</v>
      </c>
      <c r="F767" s="63" t="s">
        <v>2306</v>
      </c>
      <c r="G767" s="63" t="s">
        <v>2983</v>
      </c>
      <c r="H767" s="63" t="s">
        <v>28</v>
      </c>
      <c r="I767" s="63" t="s">
        <v>908</v>
      </c>
    </row>
    <row r="768" ht="11.25" customHeight="1">
      <c r="A768" s="63" t="s">
        <v>2257</v>
      </c>
      <c r="B768" s="63" t="s">
        <v>16</v>
      </c>
      <c r="C768" s="63" t="s">
        <v>3776</v>
      </c>
      <c r="D768" s="63" t="s">
        <v>3777</v>
      </c>
      <c r="E768" s="63" t="s">
        <v>3778</v>
      </c>
      <c r="F768" s="63" t="s">
        <v>2391</v>
      </c>
      <c r="G768" s="63" t="s">
        <v>3779</v>
      </c>
      <c r="H768" s="63" t="s">
        <v>28</v>
      </c>
      <c r="I768" s="63" t="s">
        <v>908</v>
      </c>
    </row>
    <row r="769" ht="11.25" customHeight="1">
      <c r="A769" s="63" t="s">
        <v>2257</v>
      </c>
      <c r="B769" s="63" t="s">
        <v>16</v>
      </c>
      <c r="C769" s="63" t="s">
        <v>3780</v>
      </c>
      <c r="D769" s="63" t="s">
        <v>3781</v>
      </c>
      <c r="E769" s="63" t="s">
        <v>3782</v>
      </c>
      <c r="F769" s="63" t="s">
        <v>2306</v>
      </c>
      <c r="G769" s="63" t="s">
        <v>3783</v>
      </c>
      <c r="H769" s="63" t="s">
        <v>28</v>
      </c>
      <c r="I769" s="63" t="s">
        <v>908</v>
      </c>
    </row>
    <row r="770" ht="11.25" customHeight="1">
      <c r="A770" s="63" t="s">
        <v>2257</v>
      </c>
      <c r="B770" s="63" t="s">
        <v>16</v>
      </c>
      <c r="C770" s="63" t="s">
        <v>3662</v>
      </c>
      <c r="D770" s="63" t="s">
        <v>3663</v>
      </c>
      <c r="E770" s="63" t="s">
        <v>3664</v>
      </c>
      <c r="F770" s="63" t="s">
        <v>2275</v>
      </c>
      <c r="G770" s="63" t="s">
        <v>3665</v>
      </c>
      <c r="H770" s="63" t="s">
        <v>28</v>
      </c>
      <c r="I770" s="63" t="s">
        <v>908</v>
      </c>
    </row>
    <row r="771" ht="11.25" customHeight="1">
      <c r="A771" s="63" t="s">
        <v>2257</v>
      </c>
      <c r="B771" s="63" t="s">
        <v>16</v>
      </c>
      <c r="C771" s="63" t="s">
        <v>3670</v>
      </c>
      <c r="D771" s="63" t="s">
        <v>3671</v>
      </c>
      <c r="E771" s="63" t="s">
        <v>3672</v>
      </c>
      <c r="F771" s="63" t="s">
        <v>2298</v>
      </c>
      <c r="G771" s="63" t="s">
        <v>28</v>
      </c>
      <c r="H771" s="63" t="s">
        <v>28</v>
      </c>
      <c r="I771" s="63" t="s">
        <v>908</v>
      </c>
    </row>
    <row r="772" ht="11.25" customHeight="1">
      <c r="A772" s="63" t="s">
        <v>2257</v>
      </c>
      <c r="B772" s="63" t="s">
        <v>16</v>
      </c>
      <c r="C772" s="63" t="s">
        <v>3034</v>
      </c>
      <c r="D772" s="63" t="s">
        <v>3035</v>
      </c>
      <c r="E772" s="63" t="s">
        <v>3036</v>
      </c>
      <c r="F772" s="63" t="s">
        <v>2322</v>
      </c>
      <c r="G772" s="63" t="s">
        <v>3037</v>
      </c>
      <c r="H772" s="63" t="s">
        <v>28</v>
      </c>
      <c r="I772" s="63" t="s">
        <v>908</v>
      </c>
    </row>
    <row r="773" ht="11.25" customHeight="1">
      <c r="A773" s="63" t="s">
        <v>2257</v>
      </c>
      <c r="B773" s="63" t="s">
        <v>16</v>
      </c>
      <c r="C773" s="63" t="s">
        <v>3038</v>
      </c>
      <c r="D773" s="63" t="s">
        <v>3039</v>
      </c>
      <c r="E773" s="63" t="s">
        <v>3040</v>
      </c>
      <c r="F773" s="63" t="s">
        <v>2275</v>
      </c>
      <c r="G773" s="63" t="s">
        <v>28</v>
      </c>
      <c r="H773" s="63" t="s">
        <v>28</v>
      </c>
      <c r="I773" s="63" t="s">
        <v>908</v>
      </c>
    </row>
    <row r="774" ht="11.25" customHeight="1">
      <c r="A774" s="63" t="s">
        <v>2257</v>
      </c>
      <c r="B774" s="63" t="s">
        <v>16</v>
      </c>
      <c r="C774" s="63" t="s">
        <v>3047</v>
      </c>
      <c r="D774" s="63" t="s">
        <v>3048</v>
      </c>
      <c r="E774" s="63" t="s">
        <v>3049</v>
      </c>
      <c r="F774" s="63" t="s">
        <v>2288</v>
      </c>
      <c r="G774" s="63" t="s">
        <v>28</v>
      </c>
      <c r="H774" s="63" t="s">
        <v>28</v>
      </c>
      <c r="I774" s="63" t="s">
        <v>908</v>
      </c>
    </row>
    <row r="775" ht="11.25" customHeight="1">
      <c r="A775" s="63" t="s">
        <v>2257</v>
      </c>
      <c r="B775" s="63" t="s">
        <v>16</v>
      </c>
      <c r="C775" s="63" t="s">
        <v>3054</v>
      </c>
      <c r="D775" s="63" t="s">
        <v>3055</v>
      </c>
      <c r="E775" s="63" t="s">
        <v>3056</v>
      </c>
      <c r="F775" s="63" t="s">
        <v>2743</v>
      </c>
      <c r="G775" s="63" t="s">
        <v>28</v>
      </c>
      <c r="H775" s="63" t="s">
        <v>28</v>
      </c>
      <c r="I775" s="63" t="s">
        <v>908</v>
      </c>
    </row>
    <row r="776" ht="11.25" customHeight="1">
      <c r="A776" s="63" t="s">
        <v>2257</v>
      </c>
      <c r="B776" s="63" t="s">
        <v>16</v>
      </c>
      <c r="C776" s="63" t="s">
        <v>3066</v>
      </c>
      <c r="D776" s="63" t="s">
        <v>3067</v>
      </c>
      <c r="E776" s="63" t="s">
        <v>3068</v>
      </c>
      <c r="F776" s="63" t="s">
        <v>2298</v>
      </c>
      <c r="G776" s="63" t="s">
        <v>3069</v>
      </c>
      <c r="H776" s="63" t="s">
        <v>28</v>
      </c>
      <c r="I776" s="63" t="s">
        <v>908</v>
      </c>
    </row>
    <row r="777" ht="11.25" customHeight="1">
      <c r="A777" s="63" t="s">
        <v>2257</v>
      </c>
      <c r="B777" s="63" t="s">
        <v>16</v>
      </c>
      <c r="C777" s="63" t="s">
        <v>3784</v>
      </c>
      <c r="D777" s="63" t="s">
        <v>3785</v>
      </c>
      <c r="E777" s="63" t="s">
        <v>3786</v>
      </c>
      <c r="F777" s="63" t="s">
        <v>2391</v>
      </c>
      <c r="G777" s="63" t="s">
        <v>28</v>
      </c>
      <c r="H777" s="63" t="s">
        <v>28</v>
      </c>
      <c r="I777" s="63" t="s">
        <v>908</v>
      </c>
    </row>
    <row r="778" ht="11.25" customHeight="1">
      <c r="A778" s="63" t="s">
        <v>2257</v>
      </c>
      <c r="B778" s="63" t="s">
        <v>16</v>
      </c>
      <c r="C778" s="63" t="s">
        <v>3152</v>
      </c>
      <c r="D778" s="63" t="s">
        <v>3153</v>
      </c>
      <c r="E778" s="63" t="s">
        <v>3154</v>
      </c>
      <c r="F778" s="63" t="s">
        <v>2354</v>
      </c>
      <c r="G778" s="63" t="s">
        <v>3155</v>
      </c>
      <c r="H778" s="63" t="s">
        <v>28</v>
      </c>
      <c r="I778" s="63" t="s">
        <v>908</v>
      </c>
    </row>
    <row r="779" ht="11.25" customHeight="1">
      <c r="A779" s="63" t="s">
        <v>2257</v>
      </c>
      <c r="B779" s="63" t="s">
        <v>16</v>
      </c>
      <c r="C779" s="63" t="s">
        <v>3675</v>
      </c>
      <c r="D779" s="63" t="s">
        <v>3676</v>
      </c>
      <c r="E779" s="63" t="s">
        <v>3677</v>
      </c>
      <c r="F779" s="63" t="s">
        <v>2518</v>
      </c>
      <c r="G779" s="63" t="s">
        <v>3678</v>
      </c>
      <c r="H779" s="63" t="s">
        <v>28</v>
      </c>
      <c r="I779" s="63" t="s">
        <v>908</v>
      </c>
    </row>
    <row r="780" ht="11.25" customHeight="1">
      <c r="A780" s="63" t="s">
        <v>2257</v>
      </c>
      <c r="B780" s="63" t="s">
        <v>16</v>
      </c>
      <c r="C780" s="63" t="s">
        <v>3679</v>
      </c>
      <c r="D780" s="63" t="s">
        <v>3680</v>
      </c>
      <c r="E780" s="63" t="s">
        <v>3681</v>
      </c>
      <c r="F780" s="63" t="s">
        <v>2391</v>
      </c>
      <c r="G780" s="63" t="s">
        <v>28</v>
      </c>
      <c r="H780" s="63" t="s">
        <v>28</v>
      </c>
      <c r="I780" s="63" t="s">
        <v>908</v>
      </c>
    </row>
    <row r="781" ht="11.25" customHeight="1">
      <c r="A781" s="63" t="s">
        <v>2257</v>
      </c>
      <c r="B781" s="63" t="s">
        <v>16</v>
      </c>
      <c r="C781" s="63" t="s">
        <v>3682</v>
      </c>
      <c r="D781" s="63" t="s">
        <v>3683</v>
      </c>
      <c r="E781" s="63" t="s">
        <v>3684</v>
      </c>
      <c r="F781" s="63" t="s">
        <v>2330</v>
      </c>
      <c r="G781" s="63" t="s">
        <v>28</v>
      </c>
      <c r="H781" s="63" t="s">
        <v>28</v>
      </c>
      <c r="I781" s="63" t="s">
        <v>908</v>
      </c>
    </row>
    <row r="782" ht="11.25" customHeight="1">
      <c r="A782" s="63" t="s">
        <v>2257</v>
      </c>
      <c r="B782" s="63" t="s">
        <v>16</v>
      </c>
      <c r="C782" s="63" t="s">
        <v>3163</v>
      </c>
      <c r="D782" s="63" t="s">
        <v>3164</v>
      </c>
      <c r="E782" s="63" t="s">
        <v>3165</v>
      </c>
      <c r="F782" s="63" t="s">
        <v>2407</v>
      </c>
      <c r="G782" s="63" t="s">
        <v>28</v>
      </c>
      <c r="H782" s="63" t="s">
        <v>28</v>
      </c>
      <c r="I782" s="63" t="s">
        <v>908</v>
      </c>
    </row>
    <row r="783" ht="11.25" customHeight="1">
      <c r="A783" s="63" t="s">
        <v>2257</v>
      </c>
      <c r="B783" s="63" t="s">
        <v>16</v>
      </c>
      <c r="C783" s="63" t="s">
        <v>3166</v>
      </c>
      <c r="D783" s="63" t="s">
        <v>3167</v>
      </c>
      <c r="E783" s="63" t="s">
        <v>3168</v>
      </c>
      <c r="F783" s="63" t="s">
        <v>2288</v>
      </c>
      <c r="G783" s="63" t="s">
        <v>3169</v>
      </c>
      <c r="H783" s="63" t="s">
        <v>28</v>
      </c>
      <c r="I783" s="63" t="s">
        <v>908</v>
      </c>
    </row>
    <row r="784" ht="11.25" customHeight="1">
      <c r="A784" s="63" t="s">
        <v>2257</v>
      </c>
      <c r="B784" s="63" t="s">
        <v>16</v>
      </c>
      <c r="C784" s="63" t="s">
        <v>3688</v>
      </c>
      <c r="D784" s="63" t="s">
        <v>3689</v>
      </c>
      <c r="E784" s="63" t="s">
        <v>3690</v>
      </c>
      <c r="F784" s="63" t="s">
        <v>2330</v>
      </c>
      <c r="G784" s="63" t="s">
        <v>3691</v>
      </c>
      <c r="H784" s="63" t="s">
        <v>28</v>
      </c>
      <c r="I784" s="63" t="s">
        <v>908</v>
      </c>
    </row>
    <row r="785" ht="11.25" customHeight="1">
      <c r="A785" s="63" t="s">
        <v>2257</v>
      </c>
      <c r="B785" s="63" t="s">
        <v>16</v>
      </c>
      <c r="C785" s="63" t="s">
        <v>3188</v>
      </c>
      <c r="D785" s="63" t="s">
        <v>3189</v>
      </c>
      <c r="E785" s="63" t="s">
        <v>3190</v>
      </c>
      <c r="F785" s="63" t="s">
        <v>2354</v>
      </c>
      <c r="G785" s="63" t="s">
        <v>3191</v>
      </c>
      <c r="H785" s="63" t="s">
        <v>28</v>
      </c>
      <c r="I785" s="63" t="s">
        <v>908</v>
      </c>
    </row>
    <row r="786" ht="11.25" customHeight="1">
      <c r="A786" s="63" t="s">
        <v>2257</v>
      </c>
      <c r="B786" s="63" t="s">
        <v>16</v>
      </c>
      <c r="C786" s="63" t="s">
        <v>3697</v>
      </c>
      <c r="D786" s="63" t="s">
        <v>3698</v>
      </c>
      <c r="E786" s="63" t="s">
        <v>3699</v>
      </c>
      <c r="F786" s="63" t="s">
        <v>3700</v>
      </c>
      <c r="G786" s="63" t="s">
        <v>28</v>
      </c>
      <c r="H786" s="63" t="s">
        <v>28</v>
      </c>
      <c r="I786" s="63" t="s">
        <v>908</v>
      </c>
    </row>
    <row r="787" ht="11.25" customHeight="1">
      <c r="A787" s="63" t="s">
        <v>2257</v>
      </c>
      <c r="B787" s="63" t="s">
        <v>16</v>
      </c>
      <c r="C787" s="63" t="s">
        <v>3192</v>
      </c>
      <c r="D787" s="63" t="s">
        <v>3193</v>
      </c>
      <c r="E787" s="63" t="s">
        <v>3194</v>
      </c>
      <c r="F787" s="63" t="s">
        <v>2391</v>
      </c>
      <c r="G787" s="63" t="s">
        <v>3195</v>
      </c>
      <c r="H787" s="63" t="s">
        <v>28</v>
      </c>
      <c r="I787" s="63" t="s">
        <v>908</v>
      </c>
    </row>
    <row r="788" ht="11.25" customHeight="1">
      <c r="A788" s="63" t="s">
        <v>2257</v>
      </c>
      <c r="B788" s="63" t="s">
        <v>16</v>
      </c>
      <c r="C788" s="63" t="s">
        <v>3701</v>
      </c>
      <c r="D788" s="63" t="s">
        <v>3702</v>
      </c>
      <c r="E788" s="63" t="s">
        <v>3703</v>
      </c>
      <c r="F788" s="63" t="s">
        <v>2743</v>
      </c>
      <c r="G788" s="63" t="s">
        <v>3704</v>
      </c>
      <c r="H788" s="63" t="s">
        <v>28</v>
      </c>
      <c r="I788" s="63" t="s">
        <v>908</v>
      </c>
    </row>
    <row r="789" ht="11.25" customHeight="1">
      <c r="A789" s="63" t="s">
        <v>2257</v>
      </c>
      <c r="B789" s="63" t="s">
        <v>16</v>
      </c>
      <c r="C789" s="63" t="s">
        <v>3705</v>
      </c>
      <c r="D789" s="63" t="s">
        <v>3706</v>
      </c>
      <c r="E789" s="63" t="s">
        <v>3707</v>
      </c>
      <c r="F789" s="63" t="s">
        <v>2298</v>
      </c>
      <c r="G789" s="63" t="s">
        <v>28</v>
      </c>
      <c r="H789" s="63" t="s">
        <v>28</v>
      </c>
      <c r="I789" s="63" t="s">
        <v>908</v>
      </c>
    </row>
    <row r="790" ht="11.25" customHeight="1">
      <c r="A790" s="63" t="s">
        <v>2257</v>
      </c>
      <c r="B790" s="63" t="s">
        <v>16</v>
      </c>
      <c r="C790" s="63" t="s">
        <v>3712</v>
      </c>
      <c r="D790" s="63" t="s">
        <v>3713</v>
      </c>
      <c r="E790" s="63" t="s">
        <v>3714</v>
      </c>
      <c r="F790" s="63" t="s">
        <v>2569</v>
      </c>
      <c r="G790" s="63" t="s">
        <v>28</v>
      </c>
      <c r="H790" s="63" t="s">
        <v>3715</v>
      </c>
      <c r="I790" s="63" t="s">
        <v>908</v>
      </c>
    </row>
    <row r="791" ht="11.25" customHeight="1">
      <c r="A791" s="63" t="s">
        <v>2257</v>
      </c>
      <c r="B791" s="63" t="s">
        <v>16</v>
      </c>
      <c r="C791" s="63" t="s">
        <v>3716</v>
      </c>
      <c r="D791" s="63" t="s">
        <v>3717</v>
      </c>
      <c r="E791" s="63" t="s">
        <v>3718</v>
      </c>
      <c r="F791" s="63" t="s">
        <v>2322</v>
      </c>
      <c r="G791" s="63" t="s">
        <v>28</v>
      </c>
      <c r="H791" s="63" t="s">
        <v>28</v>
      </c>
      <c r="I791" s="63" t="s">
        <v>908</v>
      </c>
    </row>
    <row r="792" ht="11.25" customHeight="1">
      <c r="A792" s="63" t="s">
        <v>2257</v>
      </c>
      <c r="B792" s="63" t="s">
        <v>16</v>
      </c>
      <c r="C792" s="63" t="s">
        <v>3719</v>
      </c>
      <c r="D792" s="63" t="s">
        <v>3720</v>
      </c>
      <c r="E792" s="63" t="s">
        <v>3721</v>
      </c>
      <c r="F792" s="63" t="s">
        <v>2275</v>
      </c>
      <c r="G792" s="63" t="s">
        <v>28</v>
      </c>
      <c r="H792" s="63" t="s">
        <v>28</v>
      </c>
      <c r="I792" s="63" t="s">
        <v>908</v>
      </c>
    </row>
    <row r="793" ht="11.25" customHeight="1">
      <c r="A793" s="63" t="s">
        <v>2257</v>
      </c>
      <c r="B793" s="63" t="s">
        <v>16</v>
      </c>
      <c r="C793" s="63" t="s">
        <v>3787</v>
      </c>
      <c r="D793" s="63" t="s">
        <v>3788</v>
      </c>
      <c r="E793" s="63" t="s">
        <v>3789</v>
      </c>
      <c r="F793" s="63" t="s">
        <v>2293</v>
      </c>
      <c r="G793" s="63" t="s">
        <v>3790</v>
      </c>
      <c r="H793" s="63" t="s">
        <v>28</v>
      </c>
      <c r="I793" s="63" t="s">
        <v>908</v>
      </c>
    </row>
    <row r="794" ht="11.25" customHeight="1">
      <c r="A794" s="63" t="s">
        <v>2257</v>
      </c>
      <c r="B794" s="63" t="s">
        <v>16</v>
      </c>
      <c r="C794" s="63" t="s">
        <v>3791</v>
      </c>
      <c r="D794" s="63" t="s">
        <v>3792</v>
      </c>
      <c r="E794" s="63" t="s">
        <v>3793</v>
      </c>
      <c r="F794" s="63" t="s">
        <v>2322</v>
      </c>
      <c r="G794" s="63" t="s">
        <v>28</v>
      </c>
      <c r="H794" s="63" t="s">
        <v>28</v>
      </c>
      <c r="I794" s="63" t="s">
        <v>908</v>
      </c>
    </row>
    <row r="795" ht="11.25" customHeight="1">
      <c r="A795" s="63" t="s">
        <v>2257</v>
      </c>
      <c r="B795" s="63" t="s">
        <v>16</v>
      </c>
      <c r="C795" s="63" t="s">
        <v>3725</v>
      </c>
      <c r="D795" s="63" t="s">
        <v>3726</v>
      </c>
      <c r="E795" s="63" t="s">
        <v>3727</v>
      </c>
      <c r="F795" s="63" t="s">
        <v>2391</v>
      </c>
      <c r="G795" s="63" t="s">
        <v>28</v>
      </c>
      <c r="H795" s="63" t="s">
        <v>28</v>
      </c>
      <c r="I795" s="63" t="s">
        <v>908</v>
      </c>
    </row>
    <row r="796" ht="11.25" customHeight="1">
      <c r="A796" s="63" t="s">
        <v>2257</v>
      </c>
      <c r="B796" s="63" t="s">
        <v>16</v>
      </c>
      <c r="C796" s="63" t="s">
        <v>3731</v>
      </c>
      <c r="D796" s="63" t="s">
        <v>3732</v>
      </c>
      <c r="E796" s="63" t="s">
        <v>3733</v>
      </c>
      <c r="F796" s="63" t="s">
        <v>2518</v>
      </c>
      <c r="G796" s="63" t="s">
        <v>3734</v>
      </c>
      <c r="H796" s="63" t="s">
        <v>28</v>
      </c>
      <c r="I796" s="63" t="s">
        <v>908</v>
      </c>
    </row>
    <row r="797" ht="11.25" customHeight="1">
      <c r="A797" s="63" t="s">
        <v>2257</v>
      </c>
      <c r="B797" s="63" t="s">
        <v>16</v>
      </c>
      <c r="C797" s="63" t="s">
        <v>3735</v>
      </c>
      <c r="D797" s="63" t="s">
        <v>3736</v>
      </c>
      <c r="E797" s="63" t="s">
        <v>3737</v>
      </c>
      <c r="F797" s="63" t="s">
        <v>2322</v>
      </c>
      <c r="G797" s="63" t="s">
        <v>3738</v>
      </c>
      <c r="H797" s="63" t="s">
        <v>28</v>
      </c>
      <c r="I797" s="63" t="s">
        <v>908</v>
      </c>
    </row>
    <row r="798" ht="11.25" customHeight="1">
      <c r="A798" s="63" t="s">
        <v>2257</v>
      </c>
      <c r="B798" s="63" t="s">
        <v>16</v>
      </c>
      <c r="C798" s="63" t="s">
        <v>3247</v>
      </c>
      <c r="D798" s="63" t="s">
        <v>3248</v>
      </c>
      <c r="E798" s="63" t="s">
        <v>3249</v>
      </c>
      <c r="F798" s="63" t="s">
        <v>2330</v>
      </c>
      <c r="G798" s="63" t="s">
        <v>28</v>
      </c>
      <c r="H798" s="63" t="s">
        <v>28</v>
      </c>
      <c r="I798" s="63" t="s">
        <v>908</v>
      </c>
    </row>
    <row r="799" ht="11.25" customHeight="1">
      <c r="A799" s="63" t="s">
        <v>2257</v>
      </c>
      <c r="B799" s="63" t="s">
        <v>16</v>
      </c>
      <c r="C799" s="63" t="s">
        <v>3739</v>
      </c>
      <c r="D799" s="63" t="s">
        <v>3740</v>
      </c>
      <c r="E799" s="63" t="s">
        <v>3741</v>
      </c>
      <c r="F799" s="63" t="s">
        <v>2364</v>
      </c>
      <c r="G799" s="63" t="s">
        <v>3742</v>
      </c>
      <c r="H799" s="63" t="s">
        <v>28</v>
      </c>
      <c r="I799" s="63" t="s">
        <v>908</v>
      </c>
    </row>
    <row r="800" ht="11.25" customHeight="1">
      <c r="A800" s="63" t="s">
        <v>2257</v>
      </c>
      <c r="B800" s="63" t="s">
        <v>16</v>
      </c>
      <c r="C800" s="63" t="s">
        <v>3253</v>
      </c>
      <c r="D800" s="63" t="s">
        <v>3254</v>
      </c>
      <c r="E800" s="63" t="s">
        <v>3255</v>
      </c>
      <c r="F800" s="63" t="s">
        <v>2364</v>
      </c>
      <c r="G800" s="63" t="s">
        <v>3256</v>
      </c>
      <c r="H800" s="63" t="s">
        <v>28</v>
      </c>
      <c r="I800" s="63" t="s">
        <v>908</v>
      </c>
    </row>
    <row r="801" ht="11.25" customHeight="1">
      <c r="A801" s="63" t="s">
        <v>2257</v>
      </c>
      <c r="B801" s="63" t="s">
        <v>16</v>
      </c>
      <c r="C801" s="63" t="s">
        <v>3264</v>
      </c>
      <c r="D801" s="63" t="s">
        <v>3265</v>
      </c>
      <c r="E801" s="63" t="s">
        <v>3266</v>
      </c>
      <c r="F801" s="63" t="s">
        <v>3267</v>
      </c>
      <c r="G801" s="63" t="s">
        <v>3268</v>
      </c>
      <c r="H801" s="63" t="s">
        <v>28</v>
      </c>
      <c r="I801" s="63" t="s">
        <v>908</v>
      </c>
    </row>
    <row r="802" ht="11.25" customHeight="1">
      <c r="A802" s="63" t="s">
        <v>2257</v>
      </c>
      <c r="B802" s="63" t="s">
        <v>16</v>
      </c>
      <c r="C802" s="63" t="s">
        <v>3269</v>
      </c>
      <c r="D802" s="63" t="s">
        <v>3270</v>
      </c>
      <c r="E802" s="63" t="s">
        <v>3271</v>
      </c>
      <c r="F802" s="63" t="s">
        <v>3272</v>
      </c>
      <c r="G802" s="63" t="s">
        <v>28</v>
      </c>
      <c r="H802" s="63" t="s">
        <v>28</v>
      </c>
      <c r="I802" s="63" t="s">
        <v>908</v>
      </c>
    </row>
    <row r="803" ht="11.25" customHeight="1">
      <c r="A803" s="63" t="s">
        <v>2257</v>
      </c>
      <c r="B803" s="63" t="s">
        <v>16</v>
      </c>
      <c r="C803" s="63" t="s">
        <v>3278</v>
      </c>
      <c r="D803" s="63" t="s">
        <v>3279</v>
      </c>
      <c r="E803" s="63" t="s">
        <v>3280</v>
      </c>
      <c r="F803" s="63" t="s">
        <v>3281</v>
      </c>
      <c r="G803" s="63" t="s">
        <v>3282</v>
      </c>
      <c r="H803" s="63" t="s">
        <v>28</v>
      </c>
      <c r="I803" s="63" t="s">
        <v>908</v>
      </c>
    </row>
    <row r="804" ht="11.25" customHeight="1">
      <c r="A804" s="63" t="s">
        <v>2257</v>
      </c>
      <c r="B804" s="63" t="s">
        <v>16</v>
      </c>
      <c r="C804" s="63" t="s">
        <v>3743</v>
      </c>
      <c r="D804" s="63" t="s">
        <v>3744</v>
      </c>
      <c r="E804" s="63" t="s">
        <v>3639</v>
      </c>
      <c r="F804" s="63" t="s">
        <v>3745</v>
      </c>
      <c r="G804" s="63" t="s">
        <v>28</v>
      </c>
      <c r="H804" s="63" t="s">
        <v>28</v>
      </c>
      <c r="I804" s="63" t="s">
        <v>908</v>
      </c>
    </row>
    <row r="805" ht="11.25" customHeight="1">
      <c r="A805" s="63" t="s">
        <v>2257</v>
      </c>
      <c r="B805" s="63" t="s">
        <v>16</v>
      </c>
      <c r="C805" s="63" t="s">
        <v>3750</v>
      </c>
      <c r="D805" s="63" t="s">
        <v>3751</v>
      </c>
      <c r="E805" s="63" t="s">
        <v>3752</v>
      </c>
      <c r="F805" s="63" t="s">
        <v>2559</v>
      </c>
      <c r="G805" s="63" t="s">
        <v>28</v>
      </c>
      <c r="H805" s="63" t="s">
        <v>28</v>
      </c>
      <c r="I805" s="63" t="s">
        <v>908</v>
      </c>
    </row>
    <row r="806" ht="11.25" customHeight="1">
      <c r="A806" s="63" t="s">
        <v>2257</v>
      </c>
      <c r="B806" s="63" t="s">
        <v>16</v>
      </c>
      <c r="C806" s="63" t="s">
        <v>3300</v>
      </c>
      <c r="D806" s="63" t="s">
        <v>3301</v>
      </c>
      <c r="E806" s="63" t="s">
        <v>3302</v>
      </c>
      <c r="F806" s="63" t="s">
        <v>2750</v>
      </c>
      <c r="G806" s="63" t="s">
        <v>3303</v>
      </c>
      <c r="H806" s="63" t="s">
        <v>28</v>
      </c>
      <c r="I806" s="63" t="s">
        <v>908</v>
      </c>
    </row>
    <row r="807" ht="11.25" customHeight="1">
      <c r="A807" s="63" t="s">
        <v>2257</v>
      </c>
      <c r="B807" s="63" t="s">
        <v>16</v>
      </c>
      <c r="C807" s="63" t="s">
        <v>3304</v>
      </c>
      <c r="D807" s="63" t="s">
        <v>3305</v>
      </c>
      <c r="E807" s="63" t="s">
        <v>3306</v>
      </c>
      <c r="F807" s="63" t="s">
        <v>2275</v>
      </c>
      <c r="G807" s="63" t="s">
        <v>3307</v>
      </c>
      <c r="H807" s="63" t="s">
        <v>28</v>
      </c>
      <c r="I807" s="63" t="s">
        <v>908</v>
      </c>
    </row>
    <row r="808" ht="11.25" customHeight="1">
      <c r="A808" s="63" t="s">
        <v>2257</v>
      </c>
      <c r="B808" s="63" t="s">
        <v>16</v>
      </c>
      <c r="C808" s="63" t="s">
        <v>3308</v>
      </c>
      <c r="D808" s="63" t="s">
        <v>3309</v>
      </c>
      <c r="E808" s="63" t="s">
        <v>3310</v>
      </c>
      <c r="F808" s="63" t="s">
        <v>3311</v>
      </c>
      <c r="G808" s="63" t="s">
        <v>28</v>
      </c>
      <c r="H808" s="63" t="s">
        <v>28</v>
      </c>
      <c r="I808" s="63" t="s">
        <v>908</v>
      </c>
    </row>
    <row r="809" ht="11.25" customHeight="1">
      <c r="A809" s="63" t="s">
        <v>2257</v>
      </c>
      <c r="B809" s="63" t="s">
        <v>16</v>
      </c>
      <c r="C809" s="63" t="s">
        <v>3315</v>
      </c>
      <c r="D809" s="63" t="s">
        <v>3316</v>
      </c>
      <c r="E809" s="63" t="s">
        <v>3317</v>
      </c>
      <c r="F809" s="63" t="s">
        <v>2315</v>
      </c>
      <c r="G809" s="63" t="s">
        <v>28</v>
      </c>
      <c r="H809" s="63" t="s">
        <v>28</v>
      </c>
      <c r="I809" s="63" t="s">
        <v>908</v>
      </c>
    </row>
    <row r="810" ht="11.25" customHeight="1">
      <c r="A810" s="63" t="s">
        <v>2257</v>
      </c>
      <c r="B810" s="63" t="s">
        <v>16</v>
      </c>
      <c r="C810" s="63" t="s">
        <v>3318</v>
      </c>
      <c r="D810" s="63" t="s">
        <v>3319</v>
      </c>
      <c r="E810" s="63" t="s">
        <v>3320</v>
      </c>
      <c r="F810" s="63" t="s">
        <v>2298</v>
      </c>
      <c r="G810" s="63" t="s">
        <v>28</v>
      </c>
      <c r="H810" s="63" t="s">
        <v>28</v>
      </c>
      <c r="I810" s="63" t="s">
        <v>908</v>
      </c>
    </row>
    <row r="811" ht="11.25" customHeight="1">
      <c r="A811" s="63" t="s">
        <v>2257</v>
      </c>
      <c r="B811" s="63" t="s">
        <v>16</v>
      </c>
      <c r="C811" s="63" t="s">
        <v>3321</v>
      </c>
      <c r="D811" s="63" t="s">
        <v>3322</v>
      </c>
      <c r="E811" s="63" t="s">
        <v>3323</v>
      </c>
      <c r="F811" s="63" t="s">
        <v>2279</v>
      </c>
      <c r="G811" s="63" t="s">
        <v>3324</v>
      </c>
      <c r="H811" s="63" t="s">
        <v>28</v>
      </c>
      <c r="I811" s="63" t="s">
        <v>908</v>
      </c>
    </row>
    <row r="812" ht="11.25" customHeight="1">
      <c r="A812" s="63" t="s">
        <v>2257</v>
      </c>
      <c r="B812" s="63" t="s">
        <v>16</v>
      </c>
      <c r="C812" s="63" t="s">
        <v>3335</v>
      </c>
      <c r="D812" s="63" t="s">
        <v>3336</v>
      </c>
      <c r="E812" s="63" t="s">
        <v>3337</v>
      </c>
      <c r="F812" s="63" t="s">
        <v>2298</v>
      </c>
      <c r="G812" s="63" t="s">
        <v>28</v>
      </c>
      <c r="H812" s="63" t="s">
        <v>28</v>
      </c>
      <c r="I812" s="63" t="s">
        <v>908</v>
      </c>
    </row>
    <row r="813" ht="11.25" customHeight="1">
      <c r="A813" s="63" t="s">
        <v>2257</v>
      </c>
      <c r="B813" s="63" t="s">
        <v>16</v>
      </c>
      <c r="C813" s="63" t="s">
        <v>3344</v>
      </c>
      <c r="D813" s="63" t="s">
        <v>3345</v>
      </c>
      <c r="E813" s="63" t="s">
        <v>3346</v>
      </c>
      <c r="F813" s="63" t="s">
        <v>2364</v>
      </c>
      <c r="G813" s="63" t="s">
        <v>28</v>
      </c>
      <c r="H813" s="63" t="s">
        <v>28</v>
      </c>
      <c r="I813" s="63" t="s">
        <v>908</v>
      </c>
    </row>
    <row r="814" ht="11.25" customHeight="1">
      <c r="A814" s="63" t="s">
        <v>2257</v>
      </c>
      <c r="B814" s="63" t="s">
        <v>16</v>
      </c>
      <c r="C814" s="63" t="s">
        <v>3363</v>
      </c>
      <c r="D814" s="63" t="s">
        <v>3364</v>
      </c>
      <c r="E814" s="63" t="s">
        <v>3365</v>
      </c>
      <c r="F814" s="63" t="s">
        <v>2364</v>
      </c>
      <c r="G814" s="63" t="s">
        <v>28</v>
      </c>
      <c r="H814" s="63" t="s">
        <v>28</v>
      </c>
      <c r="I814" s="63" t="s">
        <v>908</v>
      </c>
    </row>
    <row r="815" ht="11.25" customHeight="1">
      <c r="A815" s="63" t="s">
        <v>2257</v>
      </c>
      <c r="B815" s="63" t="s">
        <v>16</v>
      </c>
      <c r="C815" s="63" t="s">
        <v>3372</v>
      </c>
      <c r="D815" s="63" t="s">
        <v>3373</v>
      </c>
      <c r="E815" s="63" t="s">
        <v>3374</v>
      </c>
      <c r="F815" s="63" t="s">
        <v>3375</v>
      </c>
      <c r="G815" s="63" t="s">
        <v>3376</v>
      </c>
      <c r="H815" s="63" t="s">
        <v>28</v>
      </c>
      <c r="I815" s="63" t="s">
        <v>908</v>
      </c>
    </row>
    <row r="816" ht="11.25" customHeight="1">
      <c r="A816" s="63" t="s">
        <v>2257</v>
      </c>
      <c r="B816" s="63" t="s">
        <v>16</v>
      </c>
      <c r="C816" s="63" t="s">
        <v>3377</v>
      </c>
      <c r="D816" s="63" t="s">
        <v>3378</v>
      </c>
      <c r="E816" s="63" t="s">
        <v>3374</v>
      </c>
      <c r="F816" s="63" t="s">
        <v>3379</v>
      </c>
      <c r="G816" s="63" t="s">
        <v>28</v>
      </c>
      <c r="H816" s="63" t="s">
        <v>28</v>
      </c>
      <c r="I816" s="63" t="s">
        <v>908</v>
      </c>
    </row>
    <row r="817" ht="11.25" customHeight="1">
      <c r="A817" s="63" t="s">
        <v>2257</v>
      </c>
      <c r="B817" s="63" t="s">
        <v>16</v>
      </c>
      <c r="C817" s="63" t="s">
        <v>3385</v>
      </c>
      <c r="D817" s="63" t="s">
        <v>3386</v>
      </c>
      <c r="E817" s="63" t="s">
        <v>3310</v>
      </c>
      <c r="F817" s="63" t="s">
        <v>3387</v>
      </c>
      <c r="G817" s="63" t="s">
        <v>28</v>
      </c>
      <c r="H817" s="63" t="s">
        <v>28</v>
      </c>
      <c r="I817" s="63" t="s">
        <v>908</v>
      </c>
    </row>
    <row r="818" ht="11.25" customHeight="1">
      <c r="A818" s="63" t="s">
        <v>2257</v>
      </c>
      <c r="B818" s="63" t="s">
        <v>16</v>
      </c>
      <c r="C818" s="63" t="s">
        <v>13</v>
      </c>
      <c r="D818" s="63" t="s">
        <v>47</v>
      </c>
      <c r="E818" s="63" t="s">
        <v>50</v>
      </c>
      <c r="F818" s="63" t="s">
        <v>52</v>
      </c>
      <c r="G818" s="63" t="s">
        <v>28</v>
      </c>
      <c r="H818" s="63" t="s">
        <v>28</v>
      </c>
      <c r="I818" s="63" t="s">
        <v>908</v>
      </c>
    </row>
    <row r="819" ht="11.25" customHeight="1">
      <c r="A819" s="63" t="s">
        <v>2257</v>
      </c>
      <c r="B819" s="63" t="s">
        <v>16</v>
      </c>
      <c r="C819" s="63" t="s">
        <v>3794</v>
      </c>
      <c r="D819" s="63" t="s">
        <v>3795</v>
      </c>
      <c r="E819" s="63" t="s">
        <v>3796</v>
      </c>
      <c r="F819" s="63" t="s">
        <v>2322</v>
      </c>
      <c r="G819" s="63" t="s">
        <v>3797</v>
      </c>
      <c r="H819" s="63" t="s">
        <v>28</v>
      </c>
      <c r="I819" s="63" t="s">
        <v>1629</v>
      </c>
    </row>
    <row r="820" ht="11.25" customHeight="1">
      <c r="A820" s="63" t="s">
        <v>2257</v>
      </c>
      <c r="B820" s="63" t="s">
        <v>16</v>
      </c>
      <c r="C820" s="63" t="s">
        <v>3798</v>
      </c>
      <c r="D820" s="63" t="s">
        <v>3799</v>
      </c>
      <c r="E820" s="63" t="s">
        <v>3800</v>
      </c>
      <c r="F820" s="63" t="s">
        <v>577</v>
      </c>
      <c r="G820" s="63" t="s">
        <v>28</v>
      </c>
      <c r="H820" s="63" t="s">
        <v>28</v>
      </c>
      <c r="I820" s="63" t="s">
        <v>1629</v>
      </c>
    </row>
    <row r="821" ht="11.25" customHeight="1">
      <c r="A821" s="63" t="s">
        <v>2257</v>
      </c>
      <c r="B821" s="63" t="s">
        <v>16</v>
      </c>
      <c r="C821" s="63" t="s">
        <v>3764</v>
      </c>
      <c r="D821" s="63" t="s">
        <v>3765</v>
      </c>
      <c r="E821" s="63" t="s">
        <v>3766</v>
      </c>
      <c r="F821" s="63" t="s">
        <v>2322</v>
      </c>
      <c r="G821" s="63" t="s">
        <v>28</v>
      </c>
      <c r="H821" s="63" t="s">
        <v>28</v>
      </c>
      <c r="I821" s="63" t="s">
        <v>1629</v>
      </c>
    </row>
    <row r="822" ht="11.25" customHeight="1">
      <c r="A822" s="63" t="s">
        <v>2257</v>
      </c>
      <c r="B822" s="63" t="s">
        <v>16</v>
      </c>
      <c r="C822" s="63" t="s">
        <v>3801</v>
      </c>
      <c r="D822" s="63" t="s">
        <v>3802</v>
      </c>
      <c r="E822" s="63" t="s">
        <v>3803</v>
      </c>
      <c r="F822" s="63" t="s">
        <v>2288</v>
      </c>
      <c r="G822" s="63" t="s">
        <v>28</v>
      </c>
      <c r="H822" s="63" t="s">
        <v>28</v>
      </c>
      <c r="I822" s="63" t="s">
        <v>1629</v>
      </c>
    </row>
    <row r="823" ht="11.25" customHeight="1">
      <c r="A823" s="63" t="s">
        <v>2257</v>
      </c>
      <c r="B823" s="63" t="s">
        <v>16</v>
      </c>
      <c r="C823" s="63" t="s">
        <v>28</v>
      </c>
      <c r="D823" s="63" t="s">
        <v>2530</v>
      </c>
      <c r="E823" s="63" t="s">
        <v>2531</v>
      </c>
      <c r="F823" s="63" t="s">
        <v>2275</v>
      </c>
      <c r="G823" s="63" t="s">
        <v>28</v>
      </c>
      <c r="H823" s="63" t="s">
        <v>28</v>
      </c>
      <c r="I823" s="63" t="s">
        <v>1629</v>
      </c>
    </row>
    <row r="824" ht="11.25" customHeight="1">
      <c r="A824" s="63" t="s">
        <v>2257</v>
      </c>
      <c r="B824" s="63" t="s">
        <v>16</v>
      </c>
      <c r="C824" s="63" t="s">
        <v>3804</v>
      </c>
      <c r="D824" s="63" t="s">
        <v>3805</v>
      </c>
      <c r="E824" s="63" t="s">
        <v>3806</v>
      </c>
      <c r="F824" s="63" t="s">
        <v>2364</v>
      </c>
      <c r="G824" s="63" t="s">
        <v>28</v>
      </c>
      <c r="H824" s="63" t="s">
        <v>28</v>
      </c>
      <c r="I824" s="63" t="s">
        <v>1629</v>
      </c>
    </row>
    <row r="825" ht="11.25" customHeight="1">
      <c r="A825" s="63" t="s">
        <v>2257</v>
      </c>
      <c r="B825" s="63" t="s">
        <v>16</v>
      </c>
      <c r="C825" s="63" t="s">
        <v>3807</v>
      </c>
      <c r="D825" s="63" t="s">
        <v>3808</v>
      </c>
      <c r="E825" s="63" t="s">
        <v>3809</v>
      </c>
      <c r="F825" s="63" t="s">
        <v>2364</v>
      </c>
      <c r="G825" s="63" t="s">
        <v>28</v>
      </c>
      <c r="H825" s="63" t="s">
        <v>28</v>
      </c>
      <c r="I825" s="63" t="s">
        <v>1629</v>
      </c>
    </row>
    <row r="826" ht="11.25" customHeight="1">
      <c r="A826" s="63" t="s">
        <v>2257</v>
      </c>
      <c r="B826" s="63" t="s">
        <v>16</v>
      </c>
      <c r="C826" s="63" t="s">
        <v>3810</v>
      </c>
      <c r="D826" s="63" t="s">
        <v>3811</v>
      </c>
      <c r="E826" s="63" t="s">
        <v>3812</v>
      </c>
      <c r="F826" s="63" t="s">
        <v>2573</v>
      </c>
      <c r="G826" s="63" t="s">
        <v>28</v>
      </c>
      <c r="H826" s="63" t="s">
        <v>28</v>
      </c>
      <c r="I826" s="63" t="s">
        <v>1629</v>
      </c>
    </row>
    <row r="827" ht="11.25" customHeight="1">
      <c r="A827" s="63" t="s">
        <v>2257</v>
      </c>
      <c r="B827" s="63" t="s">
        <v>16</v>
      </c>
      <c r="C827" s="63" t="s">
        <v>3813</v>
      </c>
      <c r="D827" s="63" t="s">
        <v>3814</v>
      </c>
      <c r="E827" s="63" t="s">
        <v>3815</v>
      </c>
      <c r="F827" s="63" t="s">
        <v>2743</v>
      </c>
      <c r="G827" s="63" t="s">
        <v>28</v>
      </c>
      <c r="H827" s="63" t="s">
        <v>28</v>
      </c>
      <c r="I827" s="63" t="s">
        <v>1629</v>
      </c>
    </row>
    <row r="828" ht="11.25" customHeight="1">
      <c r="A828" s="63" t="s">
        <v>2257</v>
      </c>
      <c r="B828" s="63" t="s">
        <v>16</v>
      </c>
      <c r="C828" s="63" t="s">
        <v>3816</v>
      </c>
      <c r="D828" s="63" t="s">
        <v>3817</v>
      </c>
      <c r="E828" s="63" t="s">
        <v>3818</v>
      </c>
      <c r="F828" s="63" t="s">
        <v>2743</v>
      </c>
      <c r="G828" s="63" t="s">
        <v>28</v>
      </c>
      <c r="H828" s="63" t="s">
        <v>28</v>
      </c>
      <c r="I828" s="63" t="s">
        <v>1629</v>
      </c>
    </row>
    <row r="829" ht="11.25" customHeight="1">
      <c r="A829" s="63" t="s">
        <v>2257</v>
      </c>
      <c r="B829" s="63" t="s">
        <v>16</v>
      </c>
      <c r="C829" s="63" t="s">
        <v>3819</v>
      </c>
      <c r="D829" s="63" t="s">
        <v>3817</v>
      </c>
      <c r="E829" s="63" t="s">
        <v>3820</v>
      </c>
      <c r="F829" s="63" t="s">
        <v>2322</v>
      </c>
      <c r="G829" s="63" t="s">
        <v>3821</v>
      </c>
      <c r="H829" s="63" t="s">
        <v>28</v>
      </c>
      <c r="I829" s="63" t="s">
        <v>1629</v>
      </c>
    </row>
    <row r="830" ht="11.25" customHeight="1">
      <c r="A830" s="63" t="s">
        <v>2257</v>
      </c>
      <c r="B830" s="63" t="s">
        <v>16</v>
      </c>
      <c r="C830" s="63" t="s">
        <v>3822</v>
      </c>
      <c r="D830" s="63" t="s">
        <v>3823</v>
      </c>
      <c r="E830" s="63" t="s">
        <v>3824</v>
      </c>
      <c r="F830" s="63" t="s">
        <v>2485</v>
      </c>
      <c r="G830" s="63" t="s">
        <v>28</v>
      </c>
      <c r="H830" s="63" t="s">
        <v>28</v>
      </c>
      <c r="I830" s="63" t="s">
        <v>1629</v>
      </c>
    </row>
    <row r="831" ht="11.25" customHeight="1">
      <c r="A831" s="63" t="s">
        <v>2257</v>
      </c>
      <c r="B831" s="63" t="s">
        <v>16</v>
      </c>
      <c r="C831" s="63" t="s">
        <v>3825</v>
      </c>
      <c r="D831" s="63" t="s">
        <v>3826</v>
      </c>
      <c r="E831" s="63" t="s">
        <v>3827</v>
      </c>
      <c r="F831" s="63" t="s">
        <v>2559</v>
      </c>
      <c r="G831" s="63" t="s">
        <v>28</v>
      </c>
      <c r="H831" s="63" t="s">
        <v>28</v>
      </c>
      <c r="I831" s="63" t="s">
        <v>1629</v>
      </c>
    </row>
    <row r="832" ht="11.25" customHeight="1">
      <c r="A832" s="63" t="s">
        <v>2257</v>
      </c>
      <c r="B832" s="63" t="s">
        <v>16</v>
      </c>
      <c r="C832" s="63" t="s">
        <v>3828</v>
      </c>
      <c r="D832" s="63" t="s">
        <v>3829</v>
      </c>
      <c r="E832" s="63" t="s">
        <v>3830</v>
      </c>
      <c r="F832" s="63" t="s">
        <v>2518</v>
      </c>
      <c r="G832" s="63" t="s">
        <v>28</v>
      </c>
      <c r="H832" s="63" t="s">
        <v>28</v>
      </c>
      <c r="I832" s="63" t="s">
        <v>1629</v>
      </c>
    </row>
    <row r="833" ht="11.25" customHeight="1">
      <c r="A833" s="63" t="s">
        <v>2257</v>
      </c>
      <c r="B833" s="63" t="s">
        <v>16</v>
      </c>
      <c r="C833" s="63" t="s">
        <v>3831</v>
      </c>
      <c r="D833" s="63" t="s">
        <v>3832</v>
      </c>
      <c r="E833" s="63" t="s">
        <v>3833</v>
      </c>
      <c r="F833" s="63" t="s">
        <v>2322</v>
      </c>
      <c r="G833" s="63" t="s">
        <v>28</v>
      </c>
      <c r="H833" s="63" t="s">
        <v>28</v>
      </c>
      <c r="I833" s="63" t="s">
        <v>1629</v>
      </c>
    </row>
    <row r="834" ht="11.25" customHeight="1">
      <c r="A834" s="63" t="s">
        <v>2257</v>
      </c>
      <c r="B834" s="63" t="s">
        <v>16</v>
      </c>
      <c r="C834" s="63" t="s">
        <v>3834</v>
      </c>
      <c r="D834" s="63" t="s">
        <v>3835</v>
      </c>
      <c r="E834" s="63" t="s">
        <v>3836</v>
      </c>
      <c r="F834" s="63" t="s">
        <v>2391</v>
      </c>
      <c r="G834" s="63" t="s">
        <v>3837</v>
      </c>
      <c r="H834" s="63" t="s">
        <v>28</v>
      </c>
      <c r="I834" s="63" t="s">
        <v>1629</v>
      </c>
    </row>
    <row r="835" ht="11.25" customHeight="1">
      <c r="A835" s="63" t="s">
        <v>2257</v>
      </c>
      <c r="B835" s="63" t="s">
        <v>16</v>
      </c>
      <c r="C835" s="63" t="s">
        <v>3838</v>
      </c>
      <c r="D835" s="63" t="s">
        <v>3839</v>
      </c>
      <c r="E835" s="63" t="s">
        <v>3840</v>
      </c>
      <c r="F835" s="63" t="s">
        <v>2322</v>
      </c>
      <c r="G835" s="63" t="s">
        <v>28</v>
      </c>
      <c r="H835" s="63" t="s">
        <v>28</v>
      </c>
      <c r="I835" s="63" t="s">
        <v>1629</v>
      </c>
    </row>
    <row r="836" ht="11.25" customHeight="1">
      <c r="A836" s="63" t="s">
        <v>2257</v>
      </c>
      <c r="B836" s="63" t="s">
        <v>16</v>
      </c>
      <c r="C836" s="63" t="s">
        <v>3841</v>
      </c>
      <c r="D836" s="63" t="s">
        <v>3842</v>
      </c>
      <c r="E836" s="63" t="s">
        <v>3843</v>
      </c>
      <c r="F836" s="63" t="s">
        <v>2322</v>
      </c>
      <c r="G836" s="63" t="s">
        <v>28</v>
      </c>
      <c r="H836" s="63" t="s">
        <v>28</v>
      </c>
      <c r="I836" s="63" t="s">
        <v>1629</v>
      </c>
    </row>
    <row r="837" ht="11.25" customHeight="1">
      <c r="A837" s="63" t="s">
        <v>2257</v>
      </c>
      <c r="B837" s="63" t="s">
        <v>16</v>
      </c>
      <c r="C837" s="63" t="s">
        <v>3844</v>
      </c>
      <c r="D837" s="63" t="s">
        <v>3845</v>
      </c>
      <c r="E837" s="63" t="s">
        <v>3846</v>
      </c>
      <c r="F837" s="63" t="s">
        <v>2322</v>
      </c>
      <c r="G837" s="63" t="s">
        <v>28</v>
      </c>
      <c r="H837" s="63" t="s">
        <v>28</v>
      </c>
      <c r="I837" s="63" t="s">
        <v>1629</v>
      </c>
    </row>
    <row r="838" ht="11.25" customHeight="1">
      <c r="A838" s="63" t="s">
        <v>2257</v>
      </c>
      <c r="B838" s="63" t="s">
        <v>16</v>
      </c>
      <c r="C838" s="63" t="s">
        <v>3847</v>
      </c>
      <c r="D838" s="63" t="s">
        <v>3848</v>
      </c>
      <c r="E838" s="63" t="s">
        <v>3849</v>
      </c>
      <c r="F838" s="63" t="s">
        <v>2298</v>
      </c>
      <c r="G838" s="63" t="s">
        <v>28</v>
      </c>
      <c r="H838" s="63" t="s">
        <v>28</v>
      </c>
      <c r="I838" s="63" t="s">
        <v>1629</v>
      </c>
    </row>
    <row r="839" ht="11.25" customHeight="1">
      <c r="A839" s="63" t="s">
        <v>2257</v>
      </c>
      <c r="B839" s="63" t="s">
        <v>16</v>
      </c>
      <c r="C839" s="63" t="s">
        <v>3850</v>
      </c>
      <c r="D839" s="63" t="s">
        <v>3851</v>
      </c>
      <c r="E839" s="63" t="s">
        <v>3852</v>
      </c>
      <c r="F839" s="63" t="s">
        <v>2298</v>
      </c>
      <c r="G839" s="63" t="s">
        <v>28</v>
      </c>
      <c r="H839" s="63" t="s">
        <v>28</v>
      </c>
      <c r="I839" s="63" t="s">
        <v>1629</v>
      </c>
    </row>
    <row r="840" ht="11.25" customHeight="1">
      <c r="A840" s="63" t="s">
        <v>2257</v>
      </c>
      <c r="B840" s="63" t="s">
        <v>16</v>
      </c>
      <c r="C840" s="63" t="s">
        <v>3853</v>
      </c>
      <c r="D840" s="63" t="s">
        <v>3854</v>
      </c>
      <c r="E840" s="63" t="s">
        <v>3855</v>
      </c>
      <c r="F840" s="63" t="s">
        <v>2275</v>
      </c>
      <c r="G840" s="63" t="s">
        <v>28</v>
      </c>
      <c r="H840" s="63" t="s">
        <v>28</v>
      </c>
      <c r="I840" s="63" t="s">
        <v>1629</v>
      </c>
    </row>
    <row r="841" ht="11.25" customHeight="1">
      <c r="A841" s="63" t="s">
        <v>2257</v>
      </c>
      <c r="B841" s="63" t="s">
        <v>16</v>
      </c>
      <c r="C841" s="63" t="s">
        <v>3856</v>
      </c>
      <c r="D841" s="63" t="s">
        <v>3857</v>
      </c>
      <c r="E841" s="63" t="s">
        <v>3858</v>
      </c>
      <c r="F841" s="63" t="s">
        <v>2330</v>
      </c>
      <c r="G841" s="63" t="s">
        <v>28</v>
      </c>
      <c r="H841" s="63" t="s">
        <v>28</v>
      </c>
      <c r="I841" s="63" t="s">
        <v>1629</v>
      </c>
    </row>
    <row r="842" ht="11.25" customHeight="1">
      <c r="A842" s="63" t="s">
        <v>2257</v>
      </c>
      <c r="B842" s="63" t="s">
        <v>16</v>
      </c>
      <c r="C842" s="63" t="s">
        <v>3859</v>
      </c>
      <c r="D842" s="63" t="s">
        <v>3860</v>
      </c>
      <c r="E842" s="63" t="s">
        <v>3861</v>
      </c>
      <c r="F842" s="63" t="s">
        <v>2762</v>
      </c>
      <c r="G842" s="63" t="s">
        <v>28</v>
      </c>
      <c r="H842" s="63" t="s">
        <v>28</v>
      </c>
      <c r="I842" s="63" t="s">
        <v>1629</v>
      </c>
    </row>
    <row r="843" ht="11.25" customHeight="1">
      <c r="A843" s="63" t="s">
        <v>2257</v>
      </c>
      <c r="B843" s="63" t="s">
        <v>16</v>
      </c>
      <c r="C843" s="63" t="s">
        <v>3862</v>
      </c>
      <c r="D843" s="63" t="s">
        <v>3863</v>
      </c>
      <c r="E843" s="63" t="s">
        <v>3864</v>
      </c>
      <c r="F843" s="63" t="s">
        <v>2364</v>
      </c>
      <c r="G843" s="63" t="s">
        <v>3865</v>
      </c>
      <c r="H843" s="63" t="s">
        <v>28</v>
      </c>
      <c r="I843" s="63" t="s">
        <v>1629</v>
      </c>
    </row>
    <row r="844" ht="11.25" customHeight="1">
      <c r="A844" s="63" t="s">
        <v>2257</v>
      </c>
      <c r="B844" s="63" t="s">
        <v>16</v>
      </c>
      <c r="C844" s="63" t="s">
        <v>3866</v>
      </c>
      <c r="D844" s="63" t="s">
        <v>3867</v>
      </c>
      <c r="E844" s="63" t="s">
        <v>3868</v>
      </c>
      <c r="F844" s="63" t="s">
        <v>2391</v>
      </c>
      <c r="G844" s="63" t="s">
        <v>28</v>
      </c>
      <c r="H844" s="63" t="s">
        <v>28</v>
      </c>
      <c r="I844" s="63" t="s">
        <v>1629</v>
      </c>
    </row>
    <row r="845" ht="11.25" customHeight="1">
      <c r="A845" s="63" t="s">
        <v>2257</v>
      </c>
      <c r="B845" s="63" t="s">
        <v>16</v>
      </c>
      <c r="C845" s="63" t="s">
        <v>3869</v>
      </c>
      <c r="D845" s="63" t="s">
        <v>3870</v>
      </c>
      <c r="E845" s="63" t="s">
        <v>3871</v>
      </c>
      <c r="F845" s="63" t="s">
        <v>2364</v>
      </c>
      <c r="G845" s="63" t="s">
        <v>28</v>
      </c>
      <c r="H845" s="63" t="s">
        <v>28</v>
      </c>
      <c r="I845" s="63" t="s">
        <v>1629</v>
      </c>
    </row>
    <row r="846" ht="11.25" customHeight="1">
      <c r="A846" s="63" t="s">
        <v>2257</v>
      </c>
      <c r="B846" s="63" t="s">
        <v>16</v>
      </c>
      <c r="C846" s="63" t="s">
        <v>3872</v>
      </c>
      <c r="D846" s="63" t="s">
        <v>3873</v>
      </c>
      <c r="E846" s="63" t="s">
        <v>3874</v>
      </c>
      <c r="F846" s="63" t="s">
        <v>2743</v>
      </c>
      <c r="G846" s="63" t="s">
        <v>28</v>
      </c>
      <c r="H846" s="63" t="s">
        <v>28</v>
      </c>
      <c r="I846" s="63" t="s">
        <v>1629</v>
      </c>
    </row>
    <row r="847" ht="11.25" customHeight="1">
      <c r="A847" s="63" t="s">
        <v>2257</v>
      </c>
      <c r="B847" s="63" t="s">
        <v>16</v>
      </c>
      <c r="C847" s="63" t="s">
        <v>3875</v>
      </c>
      <c r="D847" s="63" t="s">
        <v>3876</v>
      </c>
      <c r="E847" s="63" t="s">
        <v>3877</v>
      </c>
      <c r="F847" s="63" t="s">
        <v>2275</v>
      </c>
      <c r="G847" s="63" t="s">
        <v>28</v>
      </c>
      <c r="H847" s="63" t="s">
        <v>28</v>
      </c>
      <c r="I847" s="63" t="s">
        <v>1629</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3878</v>
      </c>
      <c r="B1" s="183" t="s">
        <v>3879</v>
      </c>
      <c r="C1" s="183" t="s">
        <v>3880</v>
      </c>
      <c r="D1" s="183" t="s">
        <v>3881</v>
      </c>
      <c r="E1" s="183" t="s">
        <v>3882</v>
      </c>
      <c r="F1" s="183" t="s">
        <v>3883</v>
      </c>
      <c r="G1" s="183" t="s">
        <v>3884</v>
      </c>
    </row>
    <row r="2" ht="11.25" customHeight="1">
      <c r="A2" s="63" t="s">
        <v>16</v>
      </c>
      <c r="B2" t="s">
        <v>3885</v>
      </c>
      <c r="C2" t="s">
        <v>3886</v>
      </c>
      <c r="D2" t="s">
        <v>3885</v>
      </c>
      <c r="E2" t="s">
        <v>3886</v>
      </c>
      <c r="F2" t="s">
        <v>3887</v>
      </c>
      <c r="G2" t="s">
        <v>109</v>
      </c>
    </row>
    <row r="3" ht="11.25" customHeight="1">
      <c r="A3" s="63" t="s">
        <v>16</v>
      </c>
      <c r="B3" t="s">
        <v>3888</v>
      </c>
      <c r="C3" t="s">
        <v>3889</v>
      </c>
      <c r="D3" t="s">
        <v>3888</v>
      </c>
      <c r="E3" t="s">
        <v>3889</v>
      </c>
      <c r="F3" t="s">
        <v>3887</v>
      </c>
      <c r="G3" t="s">
        <v>110</v>
      </c>
    </row>
    <row r="4" ht="11.25" customHeight="1">
      <c r="A4" s="63" t="s">
        <v>16</v>
      </c>
      <c r="B4" t="s">
        <v>3890</v>
      </c>
      <c r="C4" t="s">
        <v>3891</v>
      </c>
      <c r="D4" t="s">
        <v>3890</v>
      </c>
      <c r="E4" t="s">
        <v>3891</v>
      </c>
      <c r="F4" t="s">
        <v>3887</v>
      </c>
      <c r="G4" t="s">
        <v>90</v>
      </c>
    </row>
    <row r="5" ht="11.25" customHeight="1">
      <c r="A5" s="63" t="s">
        <v>16</v>
      </c>
      <c r="B5" t="s">
        <v>3892</v>
      </c>
      <c r="C5" t="s">
        <v>3893</v>
      </c>
      <c r="D5" t="s">
        <v>3892</v>
      </c>
      <c r="E5" t="s">
        <v>3893</v>
      </c>
      <c r="F5" t="s">
        <v>3887</v>
      </c>
      <c r="G5" t="s">
        <v>91</v>
      </c>
    </row>
    <row r="6" ht="11.25" customHeight="1">
      <c r="A6" s="63" t="s">
        <v>16</v>
      </c>
      <c r="B6" t="s">
        <v>3894</v>
      </c>
      <c r="C6" t="s">
        <v>3895</v>
      </c>
      <c r="D6" t="s">
        <v>3894</v>
      </c>
      <c r="E6" t="s">
        <v>3895</v>
      </c>
      <c r="F6" t="s">
        <v>3896</v>
      </c>
      <c r="G6" t="s">
        <v>111</v>
      </c>
    </row>
    <row r="7" ht="11.25" customHeight="1">
      <c r="A7" s="63" t="s">
        <v>16</v>
      </c>
      <c r="B7" t="s">
        <v>3897</v>
      </c>
      <c r="C7" t="s">
        <v>3898</v>
      </c>
      <c r="D7" t="s">
        <v>3897</v>
      </c>
      <c r="E7" t="s">
        <v>3898</v>
      </c>
      <c r="F7" t="s">
        <v>3887</v>
      </c>
      <c r="G7" t="s">
        <v>92</v>
      </c>
    </row>
    <row r="8" ht="11.25" customHeight="1">
      <c r="A8" s="63" t="s">
        <v>16</v>
      </c>
      <c r="B8" t="s">
        <v>3899</v>
      </c>
      <c r="C8" t="s">
        <v>3900</v>
      </c>
      <c r="D8" t="s">
        <v>3899</v>
      </c>
      <c r="E8" t="s">
        <v>3900</v>
      </c>
      <c r="F8" t="s">
        <v>3896</v>
      </c>
      <c r="G8" t="s">
        <v>93</v>
      </c>
    </row>
    <row r="9" ht="11.25" customHeight="1">
      <c r="A9" s="63" t="s">
        <v>16</v>
      </c>
      <c r="B9" t="s">
        <v>3901</v>
      </c>
      <c r="C9" t="s">
        <v>3902</v>
      </c>
      <c r="D9" t="s">
        <v>3901</v>
      </c>
      <c r="E9" t="s">
        <v>3902</v>
      </c>
      <c r="F9" t="s">
        <v>3887</v>
      </c>
      <c r="G9" t="s">
        <v>112</v>
      </c>
    </row>
    <row r="10" ht="11.25" customHeight="1">
      <c r="A10" s="63" t="s">
        <v>16</v>
      </c>
      <c r="B10" t="s">
        <v>100</v>
      </c>
      <c r="C10" t="s">
        <v>101</v>
      </c>
      <c r="D10" t="s">
        <v>100</v>
      </c>
      <c r="E10" t="s">
        <v>101</v>
      </c>
      <c r="F10" t="s">
        <v>3896</v>
      </c>
      <c r="G10" t="s">
        <v>99</v>
      </c>
    </row>
    <row r="11" ht="11.25" customHeight="1">
      <c r="A11" s="63" t="s">
        <v>16</v>
      </c>
      <c r="B11" t="s">
        <v>3903</v>
      </c>
      <c r="C11" t="s">
        <v>3904</v>
      </c>
      <c r="D11" t="s">
        <v>3903</v>
      </c>
      <c r="E11" t="s">
        <v>3904</v>
      </c>
      <c r="F11" t="s">
        <v>3887</v>
      </c>
      <c r="G11" t="s">
        <v>148</v>
      </c>
    </row>
    <row r="12" ht="11.25" customHeight="1">
      <c r="A12" s="63" t="s">
        <v>16</v>
      </c>
      <c r="B12" t="s">
        <v>3905</v>
      </c>
      <c r="C12" t="s">
        <v>3906</v>
      </c>
      <c r="D12" t="s">
        <v>3905</v>
      </c>
      <c r="E12" t="s">
        <v>3906</v>
      </c>
      <c r="F12" t="s">
        <v>3896</v>
      </c>
      <c r="G12" t="s">
        <v>149</v>
      </c>
    </row>
    <row r="13" ht="11.25" customHeight="1">
      <c r="A13" s="63" t="s">
        <v>16</v>
      </c>
      <c r="B13" t="s">
        <v>3907</v>
      </c>
      <c r="C13" t="s">
        <v>3908</v>
      </c>
      <c r="D13" t="s">
        <v>3907</v>
      </c>
      <c r="E13" t="s">
        <v>3908</v>
      </c>
      <c r="F13" t="s">
        <v>3896</v>
      </c>
      <c r="G13" t="s">
        <v>150</v>
      </c>
    </row>
    <row r="14" ht="11.25" customHeight="1">
      <c r="A14" s="63" t="s">
        <v>16</v>
      </c>
      <c r="B14" t="s">
        <v>3909</v>
      </c>
      <c r="C14" t="s">
        <v>3910</v>
      </c>
      <c r="D14" t="s">
        <v>3909</v>
      </c>
      <c r="E14" t="s">
        <v>3910</v>
      </c>
      <c r="F14" t="s">
        <v>3887</v>
      </c>
      <c r="G14" t="s">
        <v>151</v>
      </c>
    </row>
    <row r="15" ht="11.25" customHeight="1">
      <c r="A15" s="63" t="s">
        <v>16</v>
      </c>
      <c r="B15" t="s">
        <v>3911</v>
      </c>
      <c r="C15" t="s">
        <v>3912</v>
      </c>
      <c r="D15" t="s">
        <v>3911</v>
      </c>
      <c r="E15" t="s">
        <v>3912</v>
      </c>
      <c r="F15" t="s">
        <v>3887</v>
      </c>
      <c r="G15" t="s">
        <v>152</v>
      </c>
    </row>
    <row r="16" ht="11.25" customHeight="1">
      <c r="A16" s="63" t="s">
        <v>16</v>
      </c>
      <c r="B16" t="s">
        <v>3913</v>
      </c>
      <c r="C16" t="s">
        <v>3914</v>
      </c>
      <c r="D16" t="s">
        <v>3913</v>
      </c>
      <c r="E16" t="s">
        <v>3914</v>
      </c>
      <c r="F16" t="s">
        <v>3887</v>
      </c>
      <c r="G16" t="s">
        <v>1472</v>
      </c>
    </row>
    <row r="17" ht="11.25" customHeight="1">
      <c r="A17" s="63" t="s">
        <v>16</v>
      </c>
      <c r="B17" t="s">
        <v>3915</v>
      </c>
      <c r="C17" t="s">
        <v>3916</v>
      </c>
      <c r="D17" t="s">
        <v>3915</v>
      </c>
      <c r="E17" t="s">
        <v>3916</v>
      </c>
      <c r="F17" t="s">
        <v>3887</v>
      </c>
      <c r="G17" t="s">
        <v>1478</v>
      </c>
    </row>
    <row r="18" ht="11.25" customHeight="1">
      <c r="A18" s="63" t="s">
        <v>16</v>
      </c>
      <c r="B18" t="s">
        <v>3917</v>
      </c>
      <c r="C18" t="s">
        <v>3918</v>
      </c>
      <c r="D18" t="s">
        <v>3917</v>
      </c>
      <c r="E18" t="s">
        <v>3918</v>
      </c>
      <c r="F18" t="s">
        <v>3896</v>
      </c>
      <c r="G18" t="s">
        <v>1490</v>
      </c>
    </row>
    <row r="19" ht="11.25" customHeight="1">
      <c r="A19" s="63" t="s">
        <v>16</v>
      </c>
      <c r="B19" t="s">
        <v>3919</v>
      </c>
      <c r="C19" t="s">
        <v>3920</v>
      </c>
      <c r="D19" t="s">
        <v>3919</v>
      </c>
      <c r="E19" t="s">
        <v>3920</v>
      </c>
      <c r="F19" t="s">
        <v>3896</v>
      </c>
      <c r="G19" t="s">
        <v>1504</v>
      </c>
    </row>
    <row r="20" ht="11.25" customHeight="1">
      <c r="A20" s="63" t="s">
        <v>16</v>
      </c>
      <c r="B20" t="s">
        <v>3921</v>
      </c>
      <c r="C20" t="s">
        <v>3922</v>
      </c>
      <c r="D20" t="s">
        <v>3921</v>
      </c>
      <c r="E20" t="s">
        <v>3922</v>
      </c>
      <c r="F20" t="s">
        <v>3887</v>
      </c>
      <c r="G20" t="s">
        <v>1516</v>
      </c>
    </row>
    <row r="21" ht="11.25" customHeight="1">
      <c r="A21" s="63" t="s">
        <v>16</v>
      </c>
      <c r="B21" t="s">
        <v>3923</v>
      </c>
      <c r="C21" t="s">
        <v>3924</v>
      </c>
      <c r="D21" t="s">
        <v>3923</v>
      </c>
      <c r="E21" t="s">
        <v>3924</v>
      </c>
      <c r="F21" t="s">
        <v>3887</v>
      </c>
      <c r="G21" t="s">
        <v>1525</v>
      </c>
    </row>
    <row r="22" ht="11.25" customHeight="1">
      <c r="A22" s="63" t="s">
        <v>16</v>
      </c>
      <c r="B22" t="s">
        <v>3925</v>
      </c>
      <c r="C22" t="s">
        <v>3926</v>
      </c>
      <c r="D22" t="s">
        <v>3925</v>
      </c>
      <c r="E22" t="s">
        <v>3926</v>
      </c>
      <c r="F22" t="s">
        <v>3887</v>
      </c>
      <c r="G22" t="s">
        <v>1541</v>
      </c>
    </row>
    <row r="23" ht="11.25" customHeight="1">
      <c r="A23" s="63" t="s">
        <v>16</v>
      </c>
      <c r="B23" t="s">
        <v>3927</v>
      </c>
      <c r="C23" t="s">
        <v>3928</v>
      </c>
      <c r="D23" t="s">
        <v>3927</v>
      </c>
      <c r="E23" t="s">
        <v>3928</v>
      </c>
      <c r="F23" t="s">
        <v>3896</v>
      </c>
      <c r="G23" t="s">
        <v>1548</v>
      </c>
    </row>
    <row r="24" ht="11.25" customHeight="1">
      <c r="A24" s="63" t="s">
        <v>16</v>
      </c>
      <c r="B24" t="s">
        <v>3929</v>
      </c>
      <c r="C24" t="s">
        <v>3930</v>
      </c>
      <c r="D24" t="s">
        <v>3929</v>
      </c>
      <c r="E24" t="s">
        <v>3930</v>
      </c>
      <c r="F24" t="s">
        <v>3896</v>
      </c>
      <c r="G24" t="s">
        <v>1556</v>
      </c>
    </row>
    <row r="25" ht="11.25" customHeight="1">
      <c r="A25" s="63" t="s">
        <v>16</v>
      </c>
      <c r="B25" t="s">
        <v>3931</v>
      </c>
      <c r="C25" t="s">
        <v>3932</v>
      </c>
      <c r="D25" t="s">
        <v>3931</v>
      </c>
      <c r="E25" t="s">
        <v>3932</v>
      </c>
      <c r="F25" t="s">
        <v>3896</v>
      </c>
      <c r="G25" t="s">
        <v>1563</v>
      </c>
    </row>
    <row r="26" ht="11.25" customHeight="1">
      <c r="A26" s="63" t="s">
        <v>16</v>
      </c>
      <c r="B26" t="s">
        <v>3933</v>
      </c>
      <c r="C26" t="s">
        <v>3934</v>
      </c>
      <c r="D26" t="s">
        <v>3933</v>
      </c>
      <c r="E26" t="s">
        <v>3934</v>
      </c>
      <c r="F26" t="s">
        <v>3887</v>
      </c>
      <c r="G26" t="s">
        <v>1567</v>
      </c>
    </row>
    <row r="27" ht="11.25" customHeight="1">
      <c r="A27" s="63" t="s">
        <v>16</v>
      </c>
      <c r="B27" t="s">
        <v>3935</v>
      </c>
      <c r="C27" t="s">
        <v>3936</v>
      </c>
      <c r="D27" t="s">
        <v>3935</v>
      </c>
      <c r="E27" t="s">
        <v>3936</v>
      </c>
      <c r="F27" t="s">
        <v>3896</v>
      </c>
      <c r="G27" t="s">
        <v>1572</v>
      </c>
    </row>
    <row r="28" ht="11.25" customHeight="1">
      <c r="A28" s="63" t="s">
        <v>16</v>
      </c>
      <c r="B28" t="s">
        <v>3937</v>
      </c>
      <c r="C28" t="s">
        <v>3938</v>
      </c>
      <c r="D28" t="s">
        <v>3937</v>
      </c>
      <c r="E28" t="s">
        <v>3938</v>
      </c>
      <c r="F28" t="s">
        <v>3896</v>
      </c>
      <c r="G28" t="s">
        <v>1580</v>
      </c>
    </row>
    <row r="29" ht="11.25" customHeight="1">
      <c r="A29" s="63" t="s">
        <v>16</v>
      </c>
      <c r="B29" t="s">
        <v>3939</v>
      </c>
      <c r="C29" t="s">
        <v>3940</v>
      </c>
      <c r="D29" t="s">
        <v>3939</v>
      </c>
      <c r="E29" t="s">
        <v>3940</v>
      </c>
      <c r="F29" t="s">
        <v>3896</v>
      </c>
      <c r="G29" t="s">
        <v>1582</v>
      </c>
    </row>
    <row r="30" ht="11.25" customHeight="1">
      <c r="A30" s="63" t="s">
        <v>16</v>
      </c>
      <c r="B30" t="s">
        <v>3941</v>
      </c>
      <c r="C30" t="s">
        <v>3942</v>
      </c>
      <c r="D30" t="s">
        <v>3941</v>
      </c>
      <c r="E30" t="s">
        <v>3942</v>
      </c>
      <c r="F30" t="s">
        <v>3896</v>
      </c>
      <c r="G30" t="s">
        <v>1585</v>
      </c>
    </row>
    <row r="31" ht="11.25" customHeight="1">
      <c r="A31" s="63" t="s">
        <v>16</v>
      </c>
      <c r="B31" t="s">
        <v>3943</v>
      </c>
      <c r="C31" t="s">
        <v>3944</v>
      </c>
      <c r="D31" t="s">
        <v>3943</v>
      </c>
      <c r="E31" t="s">
        <v>3944</v>
      </c>
      <c r="F31" t="s">
        <v>3887</v>
      </c>
      <c r="G31" t="s">
        <v>1591</v>
      </c>
    </row>
    <row r="32" ht="11.25" customHeight="1">
      <c r="A32" s="63" t="s">
        <v>16</v>
      </c>
      <c r="B32" t="s">
        <v>3945</v>
      </c>
      <c r="C32" t="s">
        <v>3946</v>
      </c>
      <c r="D32" t="s">
        <v>3945</v>
      </c>
      <c r="E32" t="s">
        <v>3946</v>
      </c>
      <c r="F32" t="s">
        <v>3887</v>
      </c>
      <c r="G32" t="s">
        <v>1593</v>
      </c>
    </row>
    <row r="33" ht="11.25" customHeight="1">
      <c r="A33" s="63" t="s">
        <v>16</v>
      </c>
      <c r="B33" t="s">
        <v>3947</v>
      </c>
      <c r="C33" t="s">
        <v>3948</v>
      </c>
      <c r="D33" t="s">
        <v>3947</v>
      </c>
      <c r="E33" t="s">
        <v>3948</v>
      </c>
      <c r="F33" t="s">
        <v>3896</v>
      </c>
      <c r="G33" t="s">
        <v>1595</v>
      </c>
    </row>
    <row r="34" ht="11.25" customHeight="1">
      <c r="A34" s="63" t="s">
        <v>16</v>
      </c>
      <c r="B34" t="s">
        <v>3949</v>
      </c>
      <c r="C34" t="s">
        <v>3950</v>
      </c>
      <c r="D34" t="s">
        <v>3949</v>
      </c>
      <c r="E34" t="s">
        <v>3950</v>
      </c>
      <c r="F34" t="s">
        <v>3896</v>
      </c>
      <c r="G34" t="s">
        <v>1597</v>
      </c>
    </row>
    <row r="35" ht="11.25" customHeight="1">
      <c r="A35" s="63" t="s">
        <v>16</v>
      </c>
      <c r="B35" t="s">
        <v>3951</v>
      </c>
      <c r="C35" t="s">
        <v>3952</v>
      </c>
      <c r="D35" t="s">
        <v>3951</v>
      </c>
      <c r="E35" t="s">
        <v>3952</v>
      </c>
      <c r="F35" t="s">
        <v>3887</v>
      </c>
      <c r="G35" t="s">
        <v>1602</v>
      </c>
    </row>
    <row r="36" ht="11.25" customHeight="1">
      <c r="A36" s="63" t="s">
        <v>16</v>
      </c>
      <c r="B36" t="s">
        <v>3953</v>
      </c>
      <c r="C36" t="s">
        <v>3954</v>
      </c>
      <c r="D36" t="s">
        <v>3953</v>
      </c>
      <c r="E36" t="s">
        <v>3954</v>
      </c>
      <c r="F36" t="s">
        <v>3896</v>
      </c>
      <c r="G36" t="s">
        <v>1607</v>
      </c>
    </row>
    <row r="37" ht="11.25" customHeight="1">
      <c r="A37" s="63" t="s">
        <v>16</v>
      </c>
      <c r="B37" t="s">
        <v>3955</v>
      </c>
      <c r="C37" t="s">
        <v>3956</v>
      </c>
      <c r="D37" t="s">
        <v>3955</v>
      </c>
      <c r="E37" t="s">
        <v>3956</v>
      </c>
      <c r="F37" t="s">
        <v>3887</v>
      </c>
      <c r="G37" t="s">
        <v>1611</v>
      </c>
    </row>
    <row r="38" ht="11.25" customHeight="1">
      <c r="A38" s="63" t="s">
        <v>16</v>
      </c>
      <c r="B38" t="s">
        <v>3957</v>
      </c>
      <c r="C38" t="s">
        <v>3958</v>
      </c>
      <c r="D38" t="s">
        <v>3957</v>
      </c>
      <c r="E38" t="s">
        <v>3958</v>
      </c>
      <c r="F38" t="s">
        <v>3896</v>
      </c>
      <c r="G38" t="s">
        <v>1619</v>
      </c>
    </row>
    <row r="39" ht="11.25" customHeight="1">
      <c r="A39" s="63" t="s">
        <v>16</v>
      </c>
      <c r="B39" t="s">
        <v>3959</v>
      </c>
      <c r="C39" t="s">
        <v>3960</v>
      </c>
      <c r="D39" t="s">
        <v>3959</v>
      </c>
      <c r="E39" t="s">
        <v>3960</v>
      </c>
      <c r="F39" t="s">
        <v>3896</v>
      </c>
      <c r="G39" t="s">
        <v>1625</v>
      </c>
    </row>
    <row r="40" ht="11.25" customHeight="1">
      <c r="A40" s="63" t="s">
        <v>16</v>
      </c>
      <c r="B40" t="s">
        <v>3961</v>
      </c>
      <c r="C40" t="s">
        <v>3962</v>
      </c>
      <c r="D40" t="s">
        <v>3961</v>
      </c>
      <c r="E40" t="s">
        <v>3962</v>
      </c>
      <c r="F40" t="s">
        <v>3896</v>
      </c>
      <c r="G40" t="s">
        <v>1630</v>
      </c>
    </row>
    <row r="41" ht="11.25" customHeight="1">
      <c r="A41" s="63" t="s">
        <v>16</v>
      </c>
      <c r="B41" t="s">
        <v>3963</v>
      </c>
      <c r="C41" t="s">
        <v>3964</v>
      </c>
      <c r="D41" t="s">
        <v>3963</v>
      </c>
      <c r="E41" t="s">
        <v>3964</v>
      </c>
      <c r="F41" t="s">
        <v>3887</v>
      </c>
      <c r="G41" t="s">
        <v>1634</v>
      </c>
    </row>
    <row r="42" ht="11.25" customHeight="1">
      <c r="A42" s="63" t="s">
        <v>16</v>
      </c>
      <c r="B42" t="s">
        <v>3965</v>
      </c>
      <c r="C42" t="s">
        <v>3966</v>
      </c>
      <c r="D42" t="s">
        <v>3965</v>
      </c>
      <c r="E42" t="s">
        <v>3966</v>
      </c>
      <c r="F42" t="s">
        <v>3887</v>
      </c>
      <c r="G42" t="s">
        <v>1637</v>
      </c>
    </row>
    <row r="43" ht="11.25" customHeight="1">
      <c r="A43" s="63" t="s">
        <v>16</v>
      </c>
      <c r="B43" t="s">
        <v>3967</v>
      </c>
      <c r="C43" t="s">
        <v>3968</v>
      </c>
      <c r="D43" t="s">
        <v>3967</v>
      </c>
      <c r="E43" t="s">
        <v>3968</v>
      </c>
      <c r="F43" t="s">
        <v>3896</v>
      </c>
      <c r="G43" t="s">
        <v>1644</v>
      </c>
    </row>
    <row r="44" ht="11.25" customHeight="1">
      <c r="A44" s="63" t="s">
        <v>16</v>
      </c>
      <c r="B44" t="s">
        <v>3969</v>
      </c>
      <c r="C44" t="s">
        <v>3970</v>
      </c>
      <c r="D44" t="s">
        <v>3969</v>
      </c>
      <c r="E44" t="s">
        <v>3970</v>
      </c>
      <c r="F44" t="s">
        <v>3896</v>
      </c>
      <c r="G44" t="s">
        <v>1653</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840" width="13.8515625"/>
    <col customWidth="1" min="2" max="2" style="840" width="10.421875"/>
    <col customWidth="1" min="3" max="3" style="840" width="7.57421875"/>
    <col customWidth="1" min="4" max="4" style="840" width="13.8515625"/>
    <col customWidth="1" min="5" max="5" style="840" width="11.57421875"/>
    <col customWidth="1" min="6" max="6" style="840" width="16.28125"/>
    <col customWidth="1" min="7" max="7" style="840" width="16.00390625"/>
    <col customWidth="1" min="8" max="9" style="840" width="16.140625"/>
  </cols>
  <sheetData>
    <row r="1" ht="11.25" customHeight="1">
      <c r="A1" s="840" t="s">
        <v>3971</v>
      </c>
      <c r="B1" s="840" t="s">
        <v>3972</v>
      </c>
      <c r="C1" s="840" t="s">
        <v>3973</v>
      </c>
      <c r="D1" s="840" t="s">
        <v>3974</v>
      </c>
      <c r="E1" s="840" t="s">
        <v>3975</v>
      </c>
      <c r="F1" s="840" t="s">
        <v>3976</v>
      </c>
      <c r="G1" s="840" t="s">
        <v>3977</v>
      </c>
      <c r="H1" s="840" t="s">
        <v>3978</v>
      </c>
      <c r="I1" s="840" t="s">
        <v>3979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48.00390625"/>
    <col customWidth="1" min="6" max="6" style="50" width="38.00390625"/>
    <col customWidth="1" hidden="1" min="7" max="7" style="50" width="1.7109375"/>
    <col customWidth="1" hidden="1" min="8" max="11" style="50" width="19.8515625"/>
    <col customWidth="1" hidden="1" min="12" max="12" style="50" width="9.7109375"/>
    <col customWidth="1" hidden="1" min="13" max="18" style="50" width="19.8515625"/>
    <col customWidth="1" hidden="1" min="19" max="19" style="50" width="1.7109375"/>
    <col customWidth="1" hidden="1" min="20" max="22" style="50" width="19.8515625"/>
    <col customWidth="1" hidden="1" min="23" max="23" style="50" width="1.7109375"/>
    <col customWidth="1" min="24" max="26" style="50" width="19.8515625"/>
    <col customWidth="1" hidden="1" min="27" max="27" style="50" width="1.7109375"/>
    <col customWidth="1" hidden="1" min="28" max="29" style="50" width="19.8515625"/>
    <col customWidth="1" hidden="1" min="30" max="30" style="50" width="1.7109375"/>
    <col customWidth="1" hidden="1" min="31" max="32" style="50" width="103.7109375"/>
    <col customWidth="1" min="33" max="33" style="50" width="103.7109375"/>
    <col customWidth="1" hidden="1" min="34" max="34" style="50" width="103.7109375"/>
    <col customWidth="1" min="35" max="35" style="139"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8"/>
      <c r="F1" s="168"/>
      <c r="G1" s="168"/>
      <c r="H1" s="113" t="s">
        <v>354</v>
      </c>
      <c r="I1" s="113"/>
      <c r="J1" s="113"/>
      <c r="K1" s="113"/>
      <c r="L1" s="113"/>
      <c r="M1" s="113"/>
      <c r="N1" s="113"/>
      <c r="O1" s="113"/>
      <c r="P1" s="113"/>
      <c r="Q1" s="113"/>
      <c r="R1" s="113"/>
      <c r="T1" s="113" t="s">
        <v>355</v>
      </c>
      <c r="U1" s="113"/>
      <c r="V1" s="113"/>
      <c r="X1" s="113" t="s">
        <v>356</v>
      </c>
      <c r="Y1" s="113"/>
      <c r="Z1" s="113"/>
      <c r="AB1" s="113" t="s">
        <v>357</v>
      </c>
      <c r="AC1" s="113"/>
      <c r="AT1" s="50" t="s">
        <v>14</v>
      </c>
    </row>
    <row r="2" ht="14.25" hidden="1" customHeight="1">
      <c r="AT2" s="50">
        <v>0</v>
      </c>
    </row>
    <row r="3" s="70" customFormat="1" ht="5.25" customHeight="1">
      <c r="C3" s="418"/>
      <c r="D3" s="419"/>
      <c r="E3" s="419"/>
      <c r="F3" s="419"/>
      <c r="G3" s="419"/>
      <c r="H3" s="419" t="s">
        <v>358</v>
      </c>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J3" s="57"/>
      <c r="AK3" s="57"/>
      <c r="AL3" s="57"/>
      <c r="AM3" s="57"/>
      <c r="AN3" s="57"/>
      <c r="AO3" s="57"/>
      <c r="AP3" s="57"/>
      <c r="AQ3" s="57"/>
      <c r="AR3" s="57"/>
      <c r="AS3" s="57"/>
      <c r="AT3" s="70">
        <v>5</v>
      </c>
    </row>
    <row r="4" ht="39.75" customHeight="1">
      <c r="C4" s="396"/>
      <c r="D4" s="236" t="str">
        <f>ORG_VD_NAME_FORM</f>
        <v xml:space="preserve">Форма 1. Информация об организации, осуществляющей холодное водоснабжение (общая информация)</v>
      </c>
      <c r="E4" s="237"/>
      <c r="F4" s="237"/>
      <c r="G4" s="237"/>
      <c r="H4" s="237"/>
      <c r="I4" s="237"/>
      <c r="J4" s="237"/>
      <c r="K4" s="237"/>
      <c r="L4" s="237"/>
      <c r="M4" s="237"/>
      <c r="N4" s="237"/>
      <c r="O4" s="237"/>
      <c r="P4" s="237"/>
      <c r="Q4" s="237"/>
      <c r="R4" s="238"/>
      <c r="S4" s="420"/>
      <c r="T4" s="316"/>
      <c r="U4" s="316"/>
      <c r="V4" s="316"/>
      <c r="W4" s="316"/>
      <c r="X4" s="316"/>
      <c r="Y4" s="316"/>
      <c r="Z4" s="316"/>
      <c r="AA4" s="316"/>
      <c r="AB4" s="316"/>
      <c r="AC4" s="316"/>
      <c r="AD4" s="316"/>
      <c r="AE4" s="421"/>
      <c r="AF4" s="421"/>
      <c r="AG4" s="421"/>
      <c r="AH4" s="421"/>
      <c r="AI4" s="239"/>
      <c r="AT4" s="50">
        <v>38</v>
      </c>
    </row>
    <row r="5" s="50" customFormat="1" ht="18" customHeight="1">
      <c r="A5" s="56"/>
      <c r="C5" s="396"/>
      <c r="D5" s="422" t="str">
        <f>IF(org=0,"Не определено",org)</f>
        <v xml:space="preserve">филиал Пермская ГРЭС АО "Интер РАО - Электрогенерация"</v>
      </c>
      <c r="E5" s="423"/>
      <c r="F5" s="423"/>
      <c r="G5" s="423"/>
      <c r="H5" s="423"/>
      <c r="I5" s="423"/>
      <c r="J5" s="423"/>
      <c r="K5" s="423"/>
      <c r="L5" s="423"/>
      <c r="M5" s="423"/>
      <c r="N5" s="423"/>
      <c r="O5" s="423"/>
      <c r="P5" s="423"/>
      <c r="Q5" s="423"/>
      <c r="R5" s="424"/>
      <c r="S5" s="420"/>
      <c r="T5" s="316"/>
      <c r="U5" s="316"/>
      <c r="V5" s="316"/>
      <c r="W5" s="316"/>
      <c r="X5" s="316"/>
      <c r="Y5" s="316"/>
      <c r="Z5" s="316"/>
      <c r="AA5" s="316"/>
      <c r="AB5" s="316"/>
      <c r="AC5" s="316"/>
      <c r="AD5" s="316"/>
      <c r="AE5" s="421"/>
      <c r="AF5" s="421"/>
      <c r="AG5" s="421"/>
      <c r="AH5" s="421"/>
      <c r="AI5" s="239"/>
      <c r="AJ5" s="57"/>
      <c r="AK5" s="57"/>
      <c r="AL5" s="57"/>
      <c r="AM5" s="57"/>
      <c r="AN5" s="57"/>
      <c r="AO5" s="57"/>
      <c r="AP5" s="57"/>
      <c r="AQ5" s="57"/>
      <c r="AR5" s="57"/>
      <c r="AS5" s="57"/>
      <c r="AT5" s="50">
        <v>17</v>
      </c>
    </row>
    <row r="6" s="65" customFormat="1" ht="11.5" customHeight="1">
      <c r="A6" s="425"/>
      <c r="C6" s="426"/>
      <c r="D6" s="427"/>
      <c r="E6" s="427"/>
      <c r="F6" s="427"/>
      <c r="G6" s="427"/>
      <c r="H6" s="427"/>
      <c r="I6" s="427"/>
      <c r="J6" s="427"/>
      <c r="K6" s="427"/>
      <c r="L6" s="427"/>
      <c r="M6" s="427"/>
      <c r="N6" s="427"/>
      <c r="O6" s="427"/>
      <c r="P6" s="427"/>
      <c r="Q6" s="427"/>
      <c r="R6" s="356"/>
      <c r="S6" s="356"/>
      <c r="T6" s="427"/>
      <c r="U6" s="427"/>
      <c r="V6" s="428"/>
      <c r="W6" s="428"/>
      <c r="X6" s="427"/>
      <c r="Y6" s="427"/>
      <c r="Z6" s="428"/>
      <c r="AA6" s="428"/>
      <c r="AB6" s="427"/>
      <c r="AC6" s="428"/>
      <c r="AD6" s="428"/>
      <c r="AE6" s="427"/>
      <c r="AF6" s="427"/>
      <c r="AG6" s="427"/>
      <c r="AH6" s="427"/>
      <c r="AJ6" s="57"/>
      <c r="AK6" s="57"/>
      <c r="AL6" s="57"/>
      <c r="AM6" s="57"/>
      <c r="AN6" s="57"/>
      <c r="AO6" s="57"/>
      <c r="AP6" s="57"/>
      <c r="AQ6" s="57"/>
      <c r="AR6" s="57"/>
      <c r="AS6" s="57"/>
      <c r="AT6" s="65">
        <v>11</v>
      </c>
    </row>
    <row r="7" ht="14.65" customHeight="1">
      <c r="C7" s="396"/>
      <c r="D7" s="429" t="s">
        <v>302</v>
      </c>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1"/>
      <c r="AE7" s="246" t="s">
        <v>303</v>
      </c>
      <c r="AF7" s="246" t="s">
        <v>303</v>
      </c>
      <c r="AG7" s="246" t="s">
        <v>303</v>
      </c>
      <c r="AH7" s="246" t="s">
        <v>303</v>
      </c>
      <c r="AT7" s="50">
        <v>14</v>
      </c>
    </row>
    <row r="8" ht="27.300000000000001" customHeight="1">
      <c r="C8" s="396"/>
      <c r="D8" s="157" t="s">
        <v>88</v>
      </c>
      <c r="E8" s="246" t="str">
        <f>"Наименование "&amp;IF(TEMPLATE_SPHERE&lt;&gt;"HEAT","централизованной ","")&amp;"системы "&amp;TEMPLATE_SPHERE_RUS</f>
        <v xml:space="preserve">Наименование централизованной системы холодного водоснабжения</v>
      </c>
      <c r="F8" s="246" t="str">
        <f>IF(TEMPLATE_SPHERE&lt;&gt;"HEAT","Регулируемый вид деятельности","Вид регулируемой деятельности")</f>
        <v xml:space="preserve">Регулируемый вид деятельности</v>
      </c>
      <c r="G8" s="432"/>
      <c r="H8" s="432" t="s">
        <v>359</v>
      </c>
      <c r="I8" s="433" t="s">
        <v>360</v>
      </c>
      <c r="J8" s="246" t="s">
        <v>361</v>
      </c>
      <c r="K8" s="246"/>
      <c r="L8" s="246"/>
      <c r="M8" s="429"/>
      <c r="N8" s="246" t="s">
        <v>362</v>
      </c>
      <c r="O8" s="246"/>
      <c r="P8" s="246" t="s">
        <v>363</v>
      </c>
      <c r="Q8" s="246"/>
      <c r="R8" s="434" t="s">
        <v>364</v>
      </c>
      <c r="S8" s="434"/>
      <c r="T8" s="432" t="s">
        <v>365</v>
      </c>
      <c r="U8" s="432" t="s">
        <v>366</v>
      </c>
      <c r="V8" s="432" t="s">
        <v>367</v>
      </c>
      <c r="W8" s="432"/>
      <c r="X8" s="432" t="s">
        <v>368</v>
      </c>
      <c r="Y8" s="432" t="s">
        <v>369</v>
      </c>
      <c r="Z8" s="432" t="s">
        <v>370</v>
      </c>
      <c r="AA8" s="432"/>
      <c r="AB8" s="432" t="s">
        <v>371</v>
      </c>
      <c r="AC8" s="432" t="s">
        <v>364</v>
      </c>
      <c r="AD8" s="432"/>
      <c r="AE8" s="246"/>
      <c r="AF8" s="246"/>
      <c r="AG8" s="246"/>
      <c r="AH8" s="246"/>
      <c r="AT8" s="50">
        <v>26</v>
      </c>
    </row>
    <row r="9" ht="46.149999999999999" customHeight="1">
      <c r="C9" s="396"/>
      <c r="D9" s="157"/>
      <c r="E9" s="246"/>
      <c r="F9" s="246"/>
      <c r="G9" s="435"/>
      <c r="H9" s="435"/>
      <c r="I9" s="436"/>
      <c r="J9" s="246" t="s">
        <v>372</v>
      </c>
      <c r="K9" s="246" t="s">
        <v>373</v>
      </c>
      <c r="L9" s="246" t="s">
        <v>374</v>
      </c>
      <c r="M9" s="429" t="s">
        <v>375</v>
      </c>
      <c r="N9" s="246" t="s">
        <v>376</v>
      </c>
      <c r="O9" s="246" t="s">
        <v>375</v>
      </c>
      <c r="P9" s="246" t="s">
        <v>377</v>
      </c>
      <c r="Q9" s="246" t="s">
        <v>375</v>
      </c>
      <c r="R9" s="437"/>
      <c r="S9" s="437"/>
      <c r="T9" s="435"/>
      <c r="U9" s="435"/>
      <c r="V9" s="435"/>
      <c r="W9" s="435"/>
      <c r="X9" s="435"/>
      <c r="Y9" s="435"/>
      <c r="Z9" s="435"/>
      <c r="AA9" s="435"/>
      <c r="AB9" s="435"/>
      <c r="AC9" s="435"/>
      <c r="AD9" s="435"/>
      <c r="AE9" s="246"/>
      <c r="AF9" s="246"/>
      <c r="AG9" s="246"/>
      <c r="AH9" s="246"/>
      <c r="AT9" s="50">
        <v>44</v>
      </c>
    </row>
    <row r="10" ht="12" hidden="1" customHeight="1">
      <c r="C10" s="438"/>
      <c r="D10" s="439"/>
      <c r="E10" s="439"/>
      <c r="F10" s="439"/>
      <c r="G10" s="439"/>
      <c r="H10" s="439"/>
      <c r="I10" s="439"/>
      <c r="J10" s="439"/>
      <c r="K10" s="439"/>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39"/>
      <c r="AI10" s="50"/>
      <c r="AP10" s="129"/>
      <c r="AQ10" s="129"/>
      <c r="AT10" s="50">
        <v>0</v>
      </c>
    </row>
    <row r="11" s="131" customFormat="1" ht="11.25" hidden="1" customHeight="1">
      <c r="C11" s="440"/>
      <c r="D11" s="441" t="s">
        <v>378</v>
      </c>
      <c r="E11" s="441"/>
      <c r="F11" s="441"/>
      <c r="G11" s="441"/>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3"/>
      <c r="AF11" s="443"/>
      <c r="AG11" s="443"/>
      <c r="AH11" s="443"/>
      <c r="AJ11" s="57"/>
      <c r="AK11" s="57"/>
      <c r="AL11" s="57"/>
      <c r="AM11" s="57"/>
      <c r="AN11" s="57"/>
      <c r="AO11" s="57"/>
      <c r="AP11" s="57"/>
      <c r="AQ11" s="57"/>
      <c r="AR11" s="57"/>
      <c r="AS11" s="57"/>
      <c r="AT11" s="131">
        <v>0</v>
      </c>
    </row>
    <row r="12" ht="14.65" customHeight="1">
      <c r="A12" s="50"/>
      <c r="C12" s="396"/>
      <c r="D12" s="444" t="s">
        <v>109</v>
      </c>
      <c r="E12" s="391" t="s">
        <v>28</v>
      </c>
      <c r="F12" s="445"/>
      <c r="G12" s="446"/>
      <c r="H12" s="447"/>
      <c r="I12" s="447"/>
      <c r="J12" s="448"/>
      <c r="K12" s="449"/>
      <c r="L12" s="450"/>
      <c r="M12" s="449"/>
      <c r="N12" s="448"/>
      <c r="O12" s="449"/>
      <c r="P12" s="448"/>
      <c r="Q12" s="449"/>
      <c r="R12" s="448"/>
      <c r="S12" s="451"/>
      <c r="T12" s="447"/>
      <c r="U12" s="448"/>
      <c r="V12" s="448"/>
      <c r="W12" s="435"/>
      <c r="X12" s="447"/>
      <c r="Y12" s="448"/>
      <c r="Z12" s="448"/>
      <c r="AA12" s="435"/>
      <c r="AB12" s="447"/>
      <c r="AC12" s="448"/>
      <c r="AD12" s="435"/>
      <c r="AE12" s="452" t="s">
        <v>379</v>
      </c>
      <c r="AF12" s="452" t="s">
        <v>380</v>
      </c>
      <c r="AG12" s="452" t="s">
        <v>381</v>
      </c>
      <c r="AH12" s="452" t="s">
        <v>382</v>
      </c>
      <c r="AI12" s="50"/>
      <c r="AM12" s="57"/>
      <c r="AP12" s="129" t="s">
        <v>383</v>
      </c>
      <c r="AQ12" s="129" t="s">
        <v>383</v>
      </c>
      <c r="AT12" s="50">
        <v>14</v>
      </c>
    </row>
    <row r="13" ht="18" customHeight="1">
      <c r="A13" s="50"/>
      <c r="C13" s="396"/>
      <c r="D13" s="453"/>
      <c r="E13" s="454" t="str">
        <f>IF(TITLE_DIFFERENTIATION_TYPE="нет","","Добавить систему")</f>
        <v/>
      </c>
      <c r="F13" s="454" t="str">
        <f>IF(TITLE_DIFFERENTIATION_TYPE="нет","Добавить вид деятельности","")</f>
        <v xml:space="preserve">Добавить вид деятельности</v>
      </c>
      <c r="G13" s="455"/>
      <c r="H13" s="456"/>
      <c r="I13" s="456"/>
      <c r="J13" s="456"/>
      <c r="K13" s="456"/>
      <c r="L13" s="456"/>
      <c r="M13" s="456"/>
      <c r="N13" s="456"/>
      <c r="O13" s="456"/>
      <c r="P13" s="456"/>
      <c r="Q13" s="456"/>
      <c r="R13" s="456"/>
      <c r="S13" s="456"/>
      <c r="T13" s="456"/>
      <c r="U13" s="456"/>
      <c r="V13" s="456"/>
      <c r="W13" s="456"/>
      <c r="X13" s="456"/>
      <c r="Y13" s="456"/>
      <c r="Z13" s="456"/>
      <c r="AA13" s="456"/>
      <c r="AB13" s="456"/>
      <c r="AC13" s="456"/>
      <c r="AD13" s="457"/>
      <c r="AE13" s="458"/>
      <c r="AF13" s="458"/>
      <c r="AG13" s="458"/>
      <c r="AH13" s="458"/>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82</v>
      </c>
      <c r="B18" s="50">
        <v>0</v>
      </c>
      <c r="C18" s="128">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9">
        <v>3</v>
      </c>
      <c r="AJ18" s="57">
        <v>10</v>
      </c>
      <c r="AK18" s="57">
        <v>10</v>
      </c>
      <c r="AL18" s="57">
        <v>10</v>
      </c>
      <c r="AM18" s="57">
        <v>0</v>
      </c>
      <c r="AN18" s="57">
        <v>15</v>
      </c>
      <c r="AO18" s="57">
        <v>16</v>
      </c>
      <c r="AP18" s="57">
        <v>10</v>
      </c>
      <c r="AQ18" s="57">
        <v>10</v>
      </c>
      <c r="AR18" s="57">
        <v>10</v>
      </c>
      <c r="AS18" s="57">
        <v>10</v>
      </c>
      <c r="AT18" s="50">
        <v>23</v>
      </c>
    </row>
  </sheetData>
  <sheetProtection autoFilter="0" deleteColumns="0" deleteRows="0" formatCells="1" formatColumns="0" formatRows="0" insertColumns="1" insertHyperlinks="1" insertRows="0" pivotTables="1" selectLockedCells="0" selectUnlockedCells="0" sheet="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isablePrompts="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1:G11"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80042-000B-4E20-AF6D-00C50044009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 xr:uid="{00260059-00AF-45C7-94A2-002D0066002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2400DD-005C-45D2-8B47-00F600D500E2}"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7D008A-0092-43E8-8714-005300CD009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442" width="9.140625"/>
  </cols>
  <sheetData>
    <row r="1" ht="11.25" customHeight="1">
      <c r="A1" s="1442" t="s">
        <v>130</v>
      </c>
      <c r="B1" s="1442" t="s">
        <v>3980</v>
      </c>
    </row>
    <row r="2" ht="11.25" customHeight="1">
      <c r="A2" s="183" t="s">
        <v>98</v>
      </c>
      <c r="B2" s="183" t="s">
        <v>3981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40" width="9.140625"/>
    <col customWidth="1" min="2" max="2" style="840" width="65.28125"/>
  </cols>
  <sheetData>
    <row r="1" ht="11.25" customHeight="1">
      <c r="A1" s="840" t="s">
        <v>3982</v>
      </c>
      <c r="B1" s="840" t="s">
        <v>3983</v>
      </c>
    </row>
    <row r="2" ht="11.25" customHeight="1">
      <c r="A2" s="840">
        <v>4213775</v>
      </c>
      <c r="B2" s="840" t="s">
        <v>1231</v>
      </c>
    </row>
    <row r="3" ht="11.25" customHeight="1">
      <c r="A3" s="840">
        <v>4213784</v>
      </c>
      <c r="B3" s="840" t="s">
        <v>1264</v>
      </c>
    </row>
    <row r="4" ht="11.25" customHeight="1">
      <c r="A4" s="840">
        <v>4213781</v>
      </c>
      <c r="B4" s="840" t="s">
        <v>1257</v>
      </c>
    </row>
    <row r="5" ht="11.25" customHeight="1">
      <c r="A5" s="840">
        <v>4213776</v>
      </c>
      <c r="B5" s="840" t="s">
        <v>165</v>
      </c>
    </row>
    <row r="6" ht="11.25" customHeight="1">
      <c r="A6" s="840">
        <v>4213777</v>
      </c>
      <c r="B6" s="840" t="s">
        <v>171</v>
      </c>
    </row>
    <row r="7" ht="11.25" customHeight="1">
      <c r="A7" s="840">
        <v>4213778</v>
      </c>
      <c r="B7" s="840" t="s">
        <v>177</v>
      </c>
    </row>
    <row r="8" ht="11.25" customHeight="1">
      <c r="A8" s="840">
        <v>4213780</v>
      </c>
      <c r="B8" s="840" t="s">
        <v>183</v>
      </c>
    </row>
    <row r="9" ht="11.25" customHeight="1">
      <c r="A9" s="840">
        <v>4213779</v>
      </c>
      <c r="B9" s="840" t="s">
        <v>1397</v>
      </c>
    </row>
    <row r="10" ht="11.25" customHeight="1">
      <c r="A10" s="840">
        <v>4213783</v>
      </c>
      <c r="B10" s="840" t="s">
        <v>1412</v>
      </c>
    </row>
    <row r="11" ht="11.25" customHeight="1">
      <c r="A11" s="840">
        <v>4213782</v>
      </c>
      <c r="B11" s="840" t="s">
        <v>189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40" width="9.140625"/>
    <col customWidth="1" min="2" max="2" style="840" width="65.28125"/>
  </cols>
  <sheetData>
    <row r="1" ht="11.25" customHeight="1">
      <c r="A1" s="840" t="s">
        <v>3982</v>
      </c>
      <c r="B1" s="840" t="s">
        <v>3984</v>
      </c>
    </row>
    <row r="2" ht="11.25" customHeight="1">
      <c r="A2" s="840" t="s">
        <v>3985</v>
      </c>
      <c r="B2" s="840" t="s">
        <v>1511</v>
      </c>
    </row>
    <row r="3" ht="11.25" customHeight="1">
      <c r="A3" s="840" t="s">
        <v>3986</v>
      </c>
      <c r="B3" s="840" t="s">
        <v>1521</v>
      </c>
    </row>
    <row r="4" ht="11.25" customHeight="1">
      <c r="A4" s="840" t="s">
        <v>3987</v>
      </c>
      <c r="B4" s="840" t="s">
        <v>1530</v>
      </c>
    </row>
    <row r="5" ht="11.25" customHeight="1">
      <c r="A5" s="840" t="s">
        <v>3988</v>
      </c>
      <c r="B5" s="840" t="s">
        <v>1539</v>
      </c>
    </row>
    <row r="6" ht="11.25" customHeight="1">
      <c r="A6" s="840" t="s">
        <v>3989</v>
      </c>
      <c r="B6" s="840" t="s">
        <v>1545</v>
      </c>
    </row>
    <row r="7" ht="11.25" customHeight="1">
      <c r="A7" s="840" t="s">
        <v>3990</v>
      </c>
      <c r="B7" s="840" t="s">
        <v>1553</v>
      </c>
    </row>
    <row r="8" ht="11.25" customHeight="1">
      <c r="A8" s="840" t="s">
        <v>3991</v>
      </c>
      <c r="B8" s="840" t="s">
        <v>1560</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3878</v>
      </c>
      <c r="B1" s="63" t="s">
        <v>3879</v>
      </c>
      <c r="C1" s="63" t="s">
        <v>3880</v>
      </c>
      <c r="D1" s="63" t="s">
        <v>3881</v>
      </c>
      <c r="E1" t="s">
        <v>3882</v>
      </c>
      <c r="F1" t="s">
        <v>3883</v>
      </c>
      <c r="G1" t="s">
        <v>3884</v>
      </c>
    </row>
    <row r="2" ht="11.25" customHeight="1">
      <c r="A2" t="s">
        <v>16</v>
      </c>
      <c r="B2" t="s">
        <v>3885</v>
      </c>
      <c r="C2" t="s">
        <v>3886</v>
      </c>
      <c r="D2" t="s">
        <v>3885</v>
      </c>
      <c r="E2" t="s">
        <v>3886</v>
      </c>
      <c r="F2" t="s">
        <v>3887</v>
      </c>
      <c r="G2" t="s">
        <v>109</v>
      </c>
    </row>
    <row r="3" ht="11.25" customHeight="1">
      <c r="A3" t="s">
        <v>16</v>
      </c>
      <c r="B3" t="s">
        <v>3888</v>
      </c>
      <c r="C3" t="s">
        <v>3889</v>
      </c>
      <c r="D3" t="s">
        <v>3888</v>
      </c>
      <c r="E3" t="s">
        <v>3889</v>
      </c>
      <c r="F3" t="s">
        <v>3887</v>
      </c>
      <c r="G3" t="s">
        <v>110</v>
      </c>
    </row>
    <row r="4" ht="11.25" customHeight="1">
      <c r="A4" t="s">
        <v>16</v>
      </c>
      <c r="B4" t="s">
        <v>3890</v>
      </c>
      <c r="C4" t="s">
        <v>3891</v>
      </c>
      <c r="D4" t="s">
        <v>3890</v>
      </c>
      <c r="E4" t="s">
        <v>3891</v>
      </c>
      <c r="F4" t="s">
        <v>3887</v>
      </c>
      <c r="G4" t="s">
        <v>90</v>
      </c>
    </row>
    <row r="5" ht="11.25" customHeight="1">
      <c r="A5" t="s">
        <v>16</v>
      </c>
      <c r="B5" t="s">
        <v>3892</v>
      </c>
      <c r="C5" t="s">
        <v>3893</v>
      </c>
      <c r="D5" t="s">
        <v>3892</v>
      </c>
      <c r="E5" t="s">
        <v>3893</v>
      </c>
      <c r="F5" t="s">
        <v>3887</v>
      </c>
      <c r="G5" t="s">
        <v>91</v>
      </c>
    </row>
    <row r="6" ht="11.25" customHeight="1">
      <c r="A6" t="s">
        <v>16</v>
      </c>
      <c r="B6" t="s">
        <v>3894</v>
      </c>
      <c r="C6" t="s">
        <v>3895</v>
      </c>
      <c r="D6" t="s">
        <v>3894</v>
      </c>
      <c r="E6" t="s">
        <v>3895</v>
      </c>
      <c r="F6" t="s">
        <v>3896</v>
      </c>
      <c r="G6" t="s">
        <v>111</v>
      </c>
    </row>
    <row r="7" ht="11.25" customHeight="1">
      <c r="A7" t="s">
        <v>16</v>
      </c>
      <c r="B7" t="s">
        <v>3897</v>
      </c>
      <c r="C7" t="s">
        <v>3898</v>
      </c>
      <c r="D7" t="s">
        <v>3897</v>
      </c>
      <c r="E7" t="s">
        <v>3898</v>
      </c>
      <c r="F7" t="s">
        <v>3887</v>
      </c>
      <c r="G7" t="s">
        <v>92</v>
      </c>
    </row>
    <row r="8" ht="11.25" customHeight="1">
      <c r="A8" t="s">
        <v>16</v>
      </c>
      <c r="B8" t="s">
        <v>3899</v>
      </c>
      <c r="C8" t="s">
        <v>3900</v>
      </c>
      <c r="D8" t="s">
        <v>3899</v>
      </c>
      <c r="E8" t="s">
        <v>3900</v>
      </c>
      <c r="F8" t="s">
        <v>3896</v>
      </c>
      <c r="G8" t="s">
        <v>93</v>
      </c>
    </row>
    <row r="9" ht="11.25" customHeight="1">
      <c r="A9" t="s">
        <v>16</v>
      </c>
      <c r="B9" t="s">
        <v>3901</v>
      </c>
      <c r="C9" t="s">
        <v>3902</v>
      </c>
      <c r="D9" t="s">
        <v>3901</v>
      </c>
      <c r="E9" t="s">
        <v>3902</v>
      </c>
      <c r="F9" t="s">
        <v>3887</v>
      </c>
      <c r="G9" t="s">
        <v>112</v>
      </c>
    </row>
    <row r="10" ht="11.25" customHeight="1">
      <c r="A10" t="s">
        <v>16</v>
      </c>
      <c r="B10" t="s">
        <v>100</v>
      </c>
      <c r="C10" t="s">
        <v>101</v>
      </c>
      <c r="D10" t="s">
        <v>100</v>
      </c>
      <c r="E10" t="s">
        <v>101</v>
      </c>
      <c r="F10" t="s">
        <v>3896</v>
      </c>
      <c r="G10" t="s">
        <v>99</v>
      </c>
    </row>
    <row r="11" ht="11.25" customHeight="1">
      <c r="A11" t="s">
        <v>16</v>
      </c>
      <c r="B11" t="s">
        <v>3903</v>
      </c>
      <c r="C11" t="s">
        <v>3904</v>
      </c>
      <c r="D11" t="s">
        <v>3903</v>
      </c>
      <c r="E11" t="s">
        <v>3904</v>
      </c>
      <c r="F11" t="s">
        <v>3887</v>
      </c>
      <c r="G11" t="s">
        <v>148</v>
      </c>
    </row>
    <row r="12" ht="11.25" customHeight="1">
      <c r="A12" t="s">
        <v>16</v>
      </c>
      <c r="B12" t="s">
        <v>3905</v>
      </c>
      <c r="C12" t="s">
        <v>3906</v>
      </c>
      <c r="D12" t="s">
        <v>3905</v>
      </c>
      <c r="E12" t="s">
        <v>3906</v>
      </c>
      <c r="F12" t="s">
        <v>3896</v>
      </c>
      <c r="G12" t="s">
        <v>149</v>
      </c>
    </row>
    <row r="13" ht="11.25" customHeight="1">
      <c r="A13" t="s">
        <v>16</v>
      </c>
      <c r="B13" t="s">
        <v>3907</v>
      </c>
      <c r="C13" t="s">
        <v>3908</v>
      </c>
      <c r="D13" t="s">
        <v>3907</v>
      </c>
      <c r="E13" t="s">
        <v>3908</v>
      </c>
      <c r="F13" t="s">
        <v>3896</v>
      </c>
      <c r="G13" t="s">
        <v>150</v>
      </c>
    </row>
    <row r="14" ht="11.25" customHeight="1">
      <c r="A14" t="s">
        <v>16</v>
      </c>
      <c r="B14" t="s">
        <v>3909</v>
      </c>
      <c r="C14" t="s">
        <v>3910</v>
      </c>
      <c r="D14" t="s">
        <v>3909</v>
      </c>
      <c r="E14" t="s">
        <v>3910</v>
      </c>
      <c r="F14" t="s">
        <v>3887</v>
      </c>
      <c r="G14" t="s">
        <v>151</v>
      </c>
    </row>
    <row r="15" ht="11.25" customHeight="1">
      <c r="A15" t="s">
        <v>16</v>
      </c>
      <c r="B15" t="s">
        <v>3911</v>
      </c>
      <c r="C15" t="s">
        <v>3912</v>
      </c>
      <c r="D15" t="s">
        <v>3911</v>
      </c>
      <c r="E15" t="s">
        <v>3912</v>
      </c>
      <c r="F15" t="s">
        <v>3887</v>
      </c>
      <c r="G15" t="s">
        <v>152</v>
      </c>
    </row>
    <row r="16" ht="11.25" customHeight="1">
      <c r="A16" t="s">
        <v>16</v>
      </c>
      <c r="B16" t="s">
        <v>3913</v>
      </c>
      <c r="C16" t="s">
        <v>3914</v>
      </c>
      <c r="D16" t="s">
        <v>3913</v>
      </c>
      <c r="E16" t="s">
        <v>3914</v>
      </c>
      <c r="F16" t="s">
        <v>3887</v>
      </c>
      <c r="G16" t="s">
        <v>1472</v>
      </c>
    </row>
    <row r="17" ht="11.25" customHeight="1">
      <c r="A17" t="s">
        <v>16</v>
      </c>
      <c r="B17" t="s">
        <v>3915</v>
      </c>
      <c r="C17" t="s">
        <v>3916</v>
      </c>
      <c r="D17" t="s">
        <v>3915</v>
      </c>
      <c r="E17" t="s">
        <v>3916</v>
      </c>
      <c r="F17" t="s">
        <v>3887</v>
      </c>
      <c r="G17" t="s">
        <v>1478</v>
      </c>
    </row>
    <row r="18" ht="11.25" customHeight="1">
      <c r="A18" t="s">
        <v>16</v>
      </c>
      <c r="B18" t="s">
        <v>3917</v>
      </c>
      <c r="C18" t="s">
        <v>3918</v>
      </c>
      <c r="D18" t="s">
        <v>3917</v>
      </c>
      <c r="E18" t="s">
        <v>3918</v>
      </c>
      <c r="F18" t="s">
        <v>3896</v>
      </c>
      <c r="G18" t="s">
        <v>1490</v>
      </c>
    </row>
    <row r="19" ht="11.25" customHeight="1">
      <c r="A19" t="s">
        <v>16</v>
      </c>
      <c r="B19" t="s">
        <v>3919</v>
      </c>
      <c r="C19" t="s">
        <v>3920</v>
      </c>
      <c r="D19" t="s">
        <v>3919</v>
      </c>
      <c r="E19" t="s">
        <v>3920</v>
      </c>
      <c r="F19" t="s">
        <v>3896</v>
      </c>
      <c r="G19" t="s">
        <v>1504</v>
      </c>
    </row>
    <row r="20" ht="11.25" customHeight="1">
      <c r="A20" t="s">
        <v>16</v>
      </c>
      <c r="B20" t="s">
        <v>3921</v>
      </c>
      <c r="C20" t="s">
        <v>3922</v>
      </c>
      <c r="D20" t="s">
        <v>3921</v>
      </c>
      <c r="E20" t="s">
        <v>3922</v>
      </c>
      <c r="F20" t="s">
        <v>3887</v>
      </c>
      <c r="G20" t="s">
        <v>1516</v>
      </c>
    </row>
    <row r="21" ht="11.25" customHeight="1">
      <c r="A21" t="s">
        <v>16</v>
      </c>
      <c r="B21" t="s">
        <v>3923</v>
      </c>
      <c r="C21" t="s">
        <v>3924</v>
      </c>
      <c r="D21" t="s">
        <v>3923</v>
      </c>
      <c r="E21" t="s">
        <v>3924</v>
      </c>
      <c r="F21" t="s">
        <v>3887</v>
      </c>
      <c r="G21" t="s">
        <v>1525</v>
      </c>
    </row>
    <row r="22" ht="11.25" customHeight="1">
      <c r="A22" t="s">
        <v>16</v>
      </c>
      <c r="B22" t="s">
        <v>3925</v>
      </c>
      <c r="C22" t="s">
        <v>3926</v>
      </c>
      <c r="D22" t="s">
        <v>3925</v>
      </c>
      <c r="E22" t="s">
        <v>3926</v>
      </c>
      <c r="F22" t="s">
        <v>3887</v>
      </c>
      <c r="G22" t="s">
        <v>1541</v>
      </c>
    </row>
    <row r="23" ht="11.25" customHeight="1">
      <c r="A23" t="s">
        <v>16</v>
      </c>
      <c r="B23" t="s">
        <v>3927</v>
      </c>
      <c r="C23" t="s">
        <v>3928</v>
      </c>
      <c r="D23" t="s">
        <v>3927</v>
      </c>
      <c r="E23" t="s">
        <v>3928</v>
      </c>
      <c r="F23" t="s">
        <v>3896</v>
      </c>
      <c r="G23" t="s">
        <v>1548</v>
      </c>
    </row>
    <row r="24" ht="11.25" customHeight="1">
      <c r="A24" t="s">
        <v>16</v>
      </c>
      <c r="B24" t="s">
        <v>3929</v>
      </c>
      <c r="C24" t="s">
        <v>3930</v>
      </c>
      <c r="D24" t="s">
        <v>3929</v>
      </c>
      <c r="E24" t="s">
        <v>3930</v>
      </c>
      <c r="F24" t="s">
        <v>3896</v>
      </c>
      <c r="G24" t="s">
        <v>1556</v>
      </c>
    </row>
    <row r="25" ht="11.25" customHeight="1">
      <c r="A25" t="s">
        <v>16</v>
      </c>
      <c r="B25" t="s">
        <v>3931</v>
      </c>
      <c r="C25" t="s">
        <v>3932</v>
      </c>
      <c r="D25" t="s">
        <v>3931</v>
      </c>
      <c r="E25" t="s">
        <v>3932</v>
      </c>
      <c r="F25" t="s">
        <v>3896</v>
      </c>
      <c r="G25" t="s">
        <v>1563</v>
      </c>
    </row>
    <row r="26" ht="11.25" customHeight="1">
      <c r="A26" t="s">
        <v>16</v>
      </c>
      <c r="B26" t="s">
        <v>3933</v>
      </c>
      <c r="C26" t="s">
        <v>3934</v>
      </c>
      <c r="D26" t="s">
        <v>3933</v>
      </c>
      <c r="E26" t="s">
        <v>3934</v>
      </c>
      <c r="F26" t="s">
        <v>3887</v>
      </c>
      <c r="G26" t="s">
        <v>1567</v>
      </c>
    </row>
    <row r="27" ht="11.25" customHeight="1">
      <c r="A27" t="s">
        <v>16</v>
      </c>
      <c r="B27" t="s">
        <v>3935</v>
      </c>
      <c r="C27" t="s">
        <v>3936</v>
      </c>
      <c r="D27" t="s">
        <v>3935</v>
      </c>
      <c r="E27" t="s">
        <v>3936</v>
      </c>
      <c r="F27" t="s">
        <v>3896</v>
      </c>
      <c r="G27" t="s">
        <v>1572</v>
      </c>
    </row>
    <row r="28" ht="11.25" customHeight="1">
      <c r="A28" t="s">
        <v>16</v>
      </c>
      <c r="B28" t="s">
        <v>3937</v>
      </c>
      <c r="C28" t="s">
        <v>3938</v>
      </c>
      <c r="D28" t="s">
        <v>3937</v>
      </c>
      <c r="E28" t="s">
        <v>3938</v>
      </c>
      <c r="F28" t="s">
        <v>3896</v>
      </c>
      <c r="G28" t="s">
        <v>1580</v>
      </c>
    </row>
    <row r="29" ht="11.25" customHeight="1">
      <c r="A29" t="s">
        <v>16</v>
      </c>
      <c r="B29" t="s">
        <v>3939</v>
      </c>
      <c r="C29" t="s">
        <v>3940</v>
      </c>
      <c r="D29" t="s">
        <v>3939</v>
      </c>
      <c r="E29" t="s">
        <v>3940</v>
      </c>
      <c r="F29" t="s">
        <v>3896</v>
      </c>
      <c r="G29" t="s">
        <v>1582</v>
      </c>
    </row>
    <row r="30" ht="11.25" customHeight="1">
      <c r="A30" t="s">
        <v>16</v>
      </c>
      <c r="B30" t="s">
        <v>3941</v>
      </c>
      <c r="C30" t="s">
        <v>3942</v>
      </c>
      <c r="D30" t="s">
        <v>3941</v>
      </c>
      <c r="E30" t="s">
        <v>3942</v>
      </c>
      <c r="F30" t="s">
        <v>3896</v>
      </c>
      <c r="G30" t="s">
        <v>1585</v>
      </c>
    </row>
    <row r="31" ht="11.25" customHeight="1">
      <c r="A31" t="s">
        <v>16</v>
      </c>
      <c r="B31" t="s">
        <v>3943</v>
      </c>
      <c r="C31" t="s">
        <v>3944</v>
      </c>
      <c r="D31" t="s">
        <v>3943</v>
      </c>
      <c r="E31" t="s">
        <v>3944</v>
      </c>
      <c r="F31" t="s">
        <v>3887</v>
      </c>
      <c r="G31" t="s">
        <v>1591</v>
      </c>
    </row>
    <row r="32" ht="11.25" customHeight="1">
      <c r="A32" t="s">
        <v>16</v>
      </c>
      <c r="B32" t="s">
        <v>3945</v>
      </c>
      <c r="C32" t="s">
        <v>3946</v>
      </c>
      <c r="D32" t="s">
        <v>3945</v>
      </c>
      <c r="E32" t="s">
        <v>3946</v>
      </c>
      <c r="F32" t="s">
        <v>3887</v>
      </c>
      <c r="G32" t="s">
        <v>1593</v>
      </c>
    </row>
    <row r="33" ht="11.25" customHeight="1">
      <c r="A33" t="s">
        <v>16</v>
      </c>
      <c r="B33" t="s">
        <v>3947</v>
      </c>
      <c r="C33" t="s">
        <v>3948</v>
      </c>
      <c r="D33" t="s">
        <v>3947</v>
      </c>
      <c r="E33" t="s">
        <v>3948</v>
      </c>
      <c r="F33" t="s">
        <v>3896</v>
      </c>
      <c r="G33" t="s">
        <v>1595</v>
      </c>
    </row>
    <row r="34" ht="11.25" customHeight="1">
      <c r="A34" t="s">
        <v>16</v>
      </c>
      <c r="B34" t="s">
        <v>3949</v>
      </c>
      <c r="C34" t="s">
        <v>3950</v>
      </c>
      <c r="D34" t="s">
        <v>3949</v>
      </c>
      <c r="E34" t="s">
        <v>3950</v>
      </c>
      <c r="F34" t="s">
        <v>3896</v>
      </c>
      <c r="G34" t="s">
        <v>1597</v>
      </c>
    </row>
    <row r="35" ht="11.25" customHeight="1">
      <c r="A35" t="s">
        <v>16</v>
      </c>
      <c r="B35" t="s">
        <v>3951</v>
      </c>
      <c r="C35" t="s">
        <v>3952</v>
      </c>
      <c r="D35" t="s">
        <v>3951</v>
      </c>
      <c r="E35" t="s">
        <v>3952</v>
      </c>
      <c r="F35" t="s">
        <v>3887</v>
      </c>
      <c r="G35" t="s">
        <v>1602</v>
      </c>
    </row>
    <row r="36" ht="11.25" customHeight="1">
      <c r="A36" t="s">
        <v>16</v>
      </c>
      <c r="B36" t="s">
        <v>3953</v>
      </c>
      <c r="C36" t="s">
        <v>3954</v>
      </c>
      <c r="D36" t="s">
        <v>3953</v>
      </c>
      <c r="E36" t="s">
        <v>3954</v>
      </c>
      <c r="F36" t="s">
        <v>3896</v>
      </c>
      <c r="G36" t="s">
        <v>1607</v>
      </c>
    </row>
    <row r="37" ht="11.25" customHeight="1">
      <c r="A37" t="s">
        <v>16</v>
      </c>
      <c r="B37" t="s">
        <v>3955</v>
      </c>
      <c r="C37" t="s">
        <v>3956</v>
      </c>
      <c r="D37" t="s">
        <v>3955</v>
      </c>
      <c r="E37" t="s">
        <v>3956</v>
      </c>
      <c r="F37" t="s">
        <v>3887</v>
      </c>
      <c r="G37" t="s">
        <v>1611</v>
      </c>
    </row>
    <row r="38" ht="11.25" customHeight="1">
      <c r="A38" t="s">
        <v>16</v>
      </c>
      <c r="B38" t="s">
        <v>3957</v>
      </c>
      <c r="C38" t="s">
        <v>3958</v>
      </c>
      <c r="D38" t="s">
        <v>3957</v>
      </c>
      <c r="E38" t="s">
        <v>3958</v>
      </c>
      <c r="F38" t="s">
        <v>3896</v>
      </c>
      <c r="G38" t="s">
        <v>1619</v>
      </c>
    </row>
    <row r="39" ht="11.25" customHeight="1">
      <c r="A39" t="s">
        <v>16</v>
      </c>
      <c r="B39" t="s">
        <v>3959</v>
      </c>
      <c r="C39" t="s">
        <v>3960</v>
      </c>
      <c r="D39" t="s">
        <v>3959</v>
      </c>
      <c r="E39" t="s">
        <v>3960</v>
      </c>
      <c r="F39" t="s">
        <v>3896</v>
      </c>
      <c r="G39" t="s">
        <v>1625</v>
      </c>
    </row>
    <row r="40" ht="11.25" customHeight="1">
      <c r="A40" t="s">
        <v>16</v>
      </c>
      <c r="B40" t="s">
        <v>3961</v>
      </c>
      <c r="C40" t="s">
        <v>3962</v>
      </c>
      <c r="D40" t="s">
        <v>3961</v>
      </c>
      <c r="E40" t="s">
        <v>3962</v>
      </c>
      <c r="F40" t="s">
        <v>3896</v>
      </c>
      <c r="G40" t="s">
        <v>1630</v>
      </c>
    </row>
    <row r="41" ht="11.25" customHeight="1">
      <c r="A41" t="s">
        <v>16</v>
      </c>
      <c r="B41" t="s">
        <v>3963</v>
      </c>
      <c r="C41" t="s">
        <v>3964</v>
      </c>
      <c r="D41" t="s">
        <v>3963</v>
      </c>
      <c r="E41" t="s">
        <v>3964</v>
      </c>
      <c r="F41" t="s">
        <v>3887</v>
      </c>
      <c r="G41" t="s">
        <v>1634</v>
      </c>
    </row>
    <row r="42" ht="11.25" customHeight="1">
      <c r="A42" t="s">
        <v>16</v>
      </c>
      <c r="B42" t="s">
        <v>3965</v>
      </c>
      <c r="C42" t="s">
        <v>3966</v>
      </c>
      <c r="D42" t="s">
        <v>3965</v>
      </c>
      <c r="E42" t="s">
        <v>3966</v>
      </c>
      <c r="F42" t="s">
        <v>3887</v>
      </c>
      <c r="G42" t="s">
        <v>1637</v>
      </c>
    </row>
    <row r="43" ht="11.25" customHeight="1">
      <c r="A43" t="s">
        <v>16</v>
      </c>
      <c r="B43" t="s">
        <v>3967</v>
      </c>
      <c r="C43" t="s">
        <v>3968</v>
      </c>
      <c r="D43" t="s">
        <v>3967</v>
      </c>
      <c r="E43" t="s">
        <v>3968</v>
      </c>
      <c r="F43" t="s">
        <v>3896</v>
      </c>
      <c r="G43" t="s">
        <v>1644</v>
      </c>
    </row>
    <row r="44" ht="11.25" customHeight="1">
      <c r="A44" t="s">
        <v>16</v>
      </c>
      <c r="B44" t="s">
        <v>3969</v>
      </c>
      <c r="C44" t="s">
        <v>3970</v>
      </c>
      <c r="D44" t="s">
        <v>3969</v>
      </c>
      <c r="E44" t="s">
        <v>3970</v>
      </c>
      <c r="F44" t="s">
        <v>3896</v>
      </c>
      <c r="G44" t="s">
        <v>1653</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40" width="9.140625"/>
    <col customWidth="1" min="2" max="2" style="840" width="84.28125"/>
    <col min="3" max="3" style="840" width="9.140625"/>
  </cols>
  <sheetData>
    <row r="1" ht="11.25" customHeight="1">
      <c r="A1" s="840" t="s">
        <v>3992</v>
      </c>
      <c r="B1" s="840" t="s">
        <v>3993</v>
      </c>
      <c r="C1" s="840" t="s">
        <v>1175</v>
      </c>
    </row>
    <row r="2" ht="11.25" customHeight="1">
      <c r="A2" s="840">
        <v>4189678</v>
      </c>
      <c r="B2" s="840" t="s">
        <v>3994</v>
      </c>
      <c r="C2" s="840" t="s">
        <v>3995</v>
      </c>
    </row>
    <row r="3" ht="11.25" customHeight="1">
      <c r="A3" s="840">
        <v>4190415</v>
      </c>
      <c r="B3" s="840" t="s">
        <v>3996</v>
      </c>
      <c r="C3" s="840" t="s">
        <v>3995</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43" width="38.421875"/>
    <col min="2" max="5" style="1443" width="9.140625"/>
  </cols>
  <sheetData>
    <row r="1" ht="15" customHeight="1">
      <c r="A1" s="1444" t="s">
        <v>3997</v>
      </c>
      <c r="B1" s="1444" t="s">
        <v>3998</v>
      </c>
      <c r="C1" s="1444"/>
      <c r="D1" s="1444"/>
      <c r="E1" s="1444"/>
    </row>
    <row r="2" ht="15" customHeight="1">
      <c r="A2" s="1444"/>
      <c r="B2" s="1444"/>
      <c r="C2" s="1444"/>
      <c r="D2" s="1444"/>
      <c r="E2" s="1444"/>
    </row>
    <row r="3" ht="15" customHeight="1">
      <c r="A3" s="1444"/>
      <c r="B3" s="1444"/>
      <c r="C3" s="1444"/>
      <c r="D3" s="1444"/>
      <c r="E3" s="1444"/>
    </row>
    <row r="4" ht="15" customHeight="1">
      <c r="A4" s="1444"/>
      <c r="B4" s="1444"/>
      <c r="C4" s="1444"/>
      <c r="D4" s="1444"/>
      <c r="E4" s="1444"/>
    </row>
    <row r="5" ht="15" customHeight="1">
      <c r="A5" s="1444"/>
      <c r="B5" s="1444"/>
      <c r="C5" s="1444"/>
      <c r="D5" s="1444"/>
      <c r="E5" s="1444"/>
    </row>
    <row r="6" ht="15" customHeight="1">
      <c r="A6" s="1444"/>
      <c r="B6" s="1444"/>
      <c r="C6" s="1444"/>
      <c r="D6" s="1444"/>
      <c r="E6" s="1444"/>
    </row>
    <row r="7" ht="15" customHeight="1">
      <c r="A7" s="1444"/>
      <c r="B7" s="1444"/>
      <c r="C7" s="1444"/>
      <c r="D7" s="1444"/>
      <c r="E7" s="1444"/>
    </row>
    <row r="8" ht="15" customHeight="1">
      <c r="A8" s="1444"/>
      <c r="B8" s="1444"/>
      <c r="C8" s="1444"/>
      <c r="D8" s="1444"/>
      <c r="E8" s="1444"/>
    </row>
  </sheetData>
  <sheetProtection autoFilter="0" deleteColumns="0" deleteRows="0" formatCells="1" formatColumns="0" formatRows="0"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3999</v>
      </c>
      <c r="B1" t="b">
        <v>1</v>
      </c>
    </row>
    <row r="2" ht="11.25" customHeight="1">
      <c r="A2" t="s">
        <v>4000</v>
      </c>
      <c r="B2" t="b">
        <v>0</v>
      </c>
    </row>
    <row r="3" ht="11.25" customHeight="1">
      <c r="A3" t="s">
        <v>4001</v>
      </c>
      <c r="B3" t="b">
        <v>0</v>
      </c>
    </row>
    <row r="4" ht="11.25" customHeight="1">
      <c r="A4" t="s">
        <v>4002</v>
      </c>
      <c r="B4" t="b">
        <v>1</v>
      </c>
    </row>
    <row r="5" ht="11.25" customHeight="1">
      <c r="A5" t="s">
        <v>4003</v>
      </c>
      <c r="B5" t="b">
        <v>0</v>
      </c>
    </row>
    <row r="6" ht="11.25" customHeight="1">
      <c r="A6" t="s">
        <v>4004</v>
      </c>
      <c r="B6" t="b">
        <v>0</v>
      </c>
    </row>
    <row r="7" ht="11.25" customHeight="1">
      <c r="A7" t="s">
        <v>4005</v>
      </c>
      <c r="B7" t="b">
        <v>0</v>
      </c>
    </row>
    <row r="8" ht="11.25" customHeight="1">
      <c r="A8" t="s">
        <v>4006</v>
      </c>
      <c r="B8" t="b">
        <v>0</v>
      </c>
    </row>
    <row r="9" ht="11.25" customHeight="1">
      <c r="A9" t="s">
        <v>4007</v>
      </c>
      <c r="B9" t="b">
        <v>0</v>
      </c>
    </row>
    <row r="10" ht="11.25" customHeight="1">
      <c r="A10" t="s">
        <v>4008</v>
      </c>
      <c r="B10" t="b">
        <v>0</v>
      </c>
    </row>
    <row r="11" ht="11.25" customHeight="1">
      <c r="A11" t="s">
        <v>4009</v>
      </c>
      <c r="B11" t="b">
        <v>0</v>
      </c>
    </row>
    <row r="12" ht="11.25" customHeight="1">
      <c r="A12" t="s">
        <v>4010</v>
      </c>
      <c r="B12" t="b">
        <v>0</v>
      </c>
    </row>
    <row r="13" ht="11.25" customHeight="1">
      <c r="A13" t="s">
        <v>4011</v>
      </c>
      <c r="B13" t="b">
        <v>0</v>
      </c>
    </row>
    <row r="14" ht="11.25" customHeight="1">
      <c r="A14" t="s">
        <v>4012</v>
      </c>
      <c r="B14" t="b">
        <v>1</v>
      </c>
    </row>
    <row r="15" ht="11.25" customHeight="1">
      <c r="A15" t="s">
        <v>4013</v>
      </c>
      <c r="B15" t="b">
        <v>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45"/>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46" t="s">
        <v>4014</v>
      </c>
      <c r="B1" s="1446" t="s">
        <v>4015</v>
      </c>
    </row>
    <row r="2" ht="11.25" customHeight="1">
      <c r="A2" s="183" t="s">
        <v>4016</v>
      </c>
      <c r="B2" s="183" t="s">
        <v>4017</v>
      </c>
    </row>
    <row r="3" ht="11.25" customHeight="1">
      <c r="A3" s="183" t="s">
        <v>4018</v>
      </c>
      <c r="B3" s="183" t="s">
        <v>4019</v>
      </c>
    </row>
    <row r="4" ht="11.25" customHeight="1">
      <c r="A4" s="183" t="s">
        <v>4020</v>
      </c>
      <c r="B4" s="183" t="s">
        <v>4021</v>
      </c>
    </row>
    <row r="5" ht="11.25" customHeight="1">
      <c r="A5" s="183" t="s">
        <v>4022</v>
      </c>
      <c r="B5" s="183" t="s">
        <v>4023</v>
      </c>
    </row>
    <row r="6" ht="11.25" customHeight="1">
      <c r="A6" s="183" t="s">
        <v>4024</v>
      </c>
      <c r="B6" s="183" t="s">
        <v>4025</v>
      </c>
    </row>
    <row r="7" ht="11.25" customHeight="1">
      <c r="A7" s="183" t="s">
        <v>4026</v>
      </c>
      <c r="B7" s="183" t="s">
        <v>4027</v>
      </c>
    </row>
    <row r="8" ht="11.25" customHeight="1">
      <c r="A8" s="183" t="s">
        <v>4028</v>
      </c>
      <c r="B8" s="183" t="s">
        <v>4029</v>
      </c>
    </row>
    <row r="9" ht="11.25" customHeight="1">
      <c r="A9" s="183" t="s">
        <v>4030</v>
      </c>
      <c r="B9" s="183" t="s">
        <v>4031</v>
      </c>
    </row>
    <row r="10" ht="11.25" customHeight="1">
      <c r="A10" s="183" t="s">
        <v>4032</v>
      </c>
      <c r="B10" s="183" t="s">
        <v>4033</v>
      </c>
    </row>
    <row r="11" ht="11.25" customHeight="1">
      <c r="A11" s="183" t="s">
        <v>4034</v>
      </c>
      <c r="B11" s="183" t="s">
        <v>4035</v>
      </c>
    </row>
    <row r="12" ht="11.25" customHeight="1">
      <c r="A12" s="183" t="s">
        <v>4036</v>
      </c>
      <c r="B12" s="183" t="s">
        <v>4037</v>
      </c>
    </row>
    <row r="13" ht="11.25" customHeight="1">
      <c r="A13" s="183" t="s">
        <v>4038</v>
      </c>
      <c r="B13" s="183" t="s">
        <v>4039</v>
      </c>
    </row>
    <row r="14" ht="11.25" customHeight="1">
      <c r="A14" s="183" t="s">
        <v>4040</v>
      </c>
      <c r="B14" s="183" t="s">
        <v>4041</v>
      </c>
    </row>
    <row r="15" ht="11.25" customHeight="1">
      <c r="A15" s="183" t="s">
        <v>4042</v>
      </c>
      <c r="B15" s="183" t="s">
        <v>4043</v>
      </c>
    </row>
    <row r="16" ht="11.25" customHeight="1">
      <c r="A16" s="183" t="s">
        <v>4044</v>
      </c>
      <c r="B16" s="183" t="s">
        <v>4045</v>
      </c>
    </row>
    <row r="17" ht="11.25" customHeight="1">
      <c r="A17" s="183" t="s">
        <v>4046</v>
      </c>
      <c r="B17" s="183" t="s">
        <v>4047</v>
      </c>
    </row>
    <row r="18" ht="11.25" customHeight="1">
      <c r="A18" s="183" t="s">
        <v>4048</v>
      </c>
      <c r="B18" s="183" t="s">
        <v>4049</v>
      </c>
    </row>
    <row r="19" ht="11.25" customHeight="1">
      <c r="A19" s="183" t="s">
        <v>4050</v>
      </c>
      <c r="B19" s="183" t="s">
        <v>4051</v>
      </c>
    </row>
    <row r="20" ht="11.25" customHeight="1">
      <c r="A20" s="183" t="s">
        <v>4052</v>
      </c>
      <c r="B20" s="183" t="s">
        <v>4053</v>
      </c>
    </row>
    <row r="21" ht="11.25" customHeight="1">
      <c r="A21" s="183" t="s">
        <v>4054</v>
      </c>
      <c r="B21" s="183" t="s">
        <v>4055</v>
      </c>
    </row>
    <row r="22" ht="11.25" customHeight="1">
      <c r="A22" s="183" t="s">
        <v>4056</v>
      </c>
      <c r="B22" s="183" t="s">
        <v>4057</v>
      </c>
    </row>
    <row r="23" ht="11.25" customHeight="1">
      <c r="A23" s="183" t="s">
        <v>4058</v>
      </c>
      <c r="B23" s="183" t="s">
        <v>4059</v>
      </c>
    </row>
    <row r="24" ht="11.25" customHeight="1">
      <c r="A24" s="183" t="s">
        <v>4060</v>
      </c>
      <c r="B24" s="183" t="s">
        <v>4061</v>
      </c>
    </row>
    <row r="25" ht="11.25" customHeight="1">
      <c r="A25" s="183" t="s">
        <v>4062</v>
      </c>
      <c r="B25" s="183" t="s">
        <v>4063</v>
      </c>
    </row>
    <row r="26" ht="11.25" customHeight="1">
      <c r="A26" s="183" t="s">
        <v>4064</v>
      </c>
      <c r="B26" s="183" t="s">
        <v>4065</v>
      </c>
    </row>
    <row r="27" ht="11.25" customHeight="1">
      <c r="A27" s="183" t="s">
        <v>4066</v>
      </c>
      <c r="B27" s="183" t="s">
        <v>4067</v>
      </c>
    </row>
    <row r="28" ht="11.25" customHeight="1">
      <c r="A28" s="183" t="s">
        <v>4068</v>
      </c>
      <c r="B28" s="183" t="s">
        <v>4069</v>
      </c>
    </row>
    <row r="29" ht="11.25" customHeight="1">
      <c r="A29" s="183" t="s">
        <v>4070</v>
      </c>
      <c r="B29" s="183" t="s">
        <v>4071</v>
      </c>
    </row>
    <row r="30" ht="11.25" customHeight="1">
      <c r="A30" s="183" t="s">
        <v>4072</v>
      </c>
      <c r="B30" s="183" t="s">
        <v>4073</v>
      </c>
    </row>
    <row r="31" ht="11.25" customHeight="1">
      <c r="A31" s="183" t="s">
        <v>4074</v>
      </c>
      <c r="B31" s="183" t="s">
        <v>4075</v>
      </c>
    </row>
    <row r="32" ht="11.25" customHeight="1">
      <c r="A32" s="183" t="s">
        <v>4076</v>
      </c>
      <c r="B32" s="183" t="s">
        <v>4077</v>
      </c>
    </row>
    <row r="33" ht="11.25" customHeight="1">
      <c r="A33" s="183" t="s">
        <v>4078</v>
      </c>
      <c r="B33" s="183" t="s">
        <v>4079</v>
      </c>
    </row>
    <row r="34" ht="11.25" customHeight="1">
      <c r="A34" s="183" t="s">
        <v>4080</v>
      </c>
      <c r="B34" s="183" t="s">
        <v>4081</v>
      </c>
    </row>
    <row r="35" ht="11.25" customHeight="1">
      <c r="A35" s="183" t="s">
        <v>4082</v>
      </c>
      <c r="B35" s="183" t="s">
        <v>4083</v>
      </c>
    </row>
    <row r="36" ht="11.25" customHeight="1">
      <c r="A36" s="183" t="s">
        <v>4084</v>
      </c>
      <c r="B36" s="183" t="s">
        <v>4085</v>
      </c>
    </row>
    <row r="37" ht="11.25" customHeight="1">
      <c r="A37" s="183" t="s">
        <v>4086</v>
      </c>
      <c r="B37" s="183" t="s">
        <v>4087</v>
      </c>
    </row>
    <row r="38" ht="11.25" customHeight="1">
      <c r="A38" s="183" t="s">
        <v>4088</v>
      </c>
      <c r="B38" s="183" t="s">
        <v>4089</v>
      </c>
    </row>
    <row r="39" ht="11.25" customHeight="1">
      <c r="A39" s="183" t="s">
        <v>4090</v>
      </c>
      <c r="B39" s="183" t="s">
        <v>4091</v>
      </c>
    </row>
    <row r="40" ht="11.25" customHeight="1">
      <c r="A40" s="183" t="s">
        <v>4092</v>
      </c>
      <c r="B40" s="183" t="s">
        <v>4093</v>
      </c>
    </row>
    <row r="41" ht="11.25" customHeight="1">
      <c r="A41" s="183" t="s">
        <v>4094</v>
      </c>
      <c r="B41" s="183" t="s">
        <v>4095</v>
      </c>
    </row>
    <row r="42" ht="11.25" customHeight="1">
      <c r="A42" s="183" t="s">
        <v>4096</v>
      </c>
      <c r="B42" s="183" t="s">
        <v>4097</v>
      </c>
    </row>
    <row r="43" ht="11.25" customHeight="1">
      <c r="A43" s="183" t="s">
        <v>4098</v>
      </c>
      <c r="B43" s="183" t="s">
        <v>4099</v>
      </c>
    </row>
    <row r="44" ht="11.25" customHeight="1">
      <c r="A44" s="183" t="s">
        <v>4100</v>
      </c>
      <c r="B44" s="183" t="s">
        <v>4101</v>
      </c>
    </row>
    <row r="45" ht="11.25" customHeight="1">
      <c r="A45" s="183" t="s">
        <v>4102</v>
      </c>
      <c r="B45" s="183" t="s">
        <v>4103</v>
      </c>
    </row>
    <row r="46" ht="11.25" customHeight="1">
      <c r="A46" s="183" t="s">
        <v>4104</v>
      </c>
      <c r="B46" s="183" t="s">
        <v>4105</v>
      </c>
    </row>
    <row r="47" ht="11.25" customHeight="1">
      <c r="A47" s="183" t="s">
        <v>4106</v>
      </c>
      <c r="B47" s="183" t="s">
        <v>4107</v>
      </c>
    </row>
    <row r="48" ht="11.25" customHeight="1">
      <c r="A48" s="183" t="s">
        <v>4108</v>
      </c>
      <c r="B48" s="183" t="s">
        <v>4109</v>
      </c>
    </row>
    <row r="49" ht="11.25" customHeight="1">
      <c r="A49" s="183" t="s">
        <v>4110</v>
      </c>
      <c r="B49" s="183" t="s">
        <v>4111</v>
      </c>
    </row>
    <row r="50" ht="11.25" customHeight="1">
      <c r="A50" s="183" t="s">
        <v>4112</v>
      </c>
      <c r="B50" s="183" t="s">
        <v>4113</v>
      </c>
    </row>
    <row r="51" ht="11.25" customHeight="1">
      <c r="A51" s="183" t="s">
        <v>4114</v>
      </c>
      <c r="B51" s="183" t="s">
        <v>4115</v>
      </c>
    </row>
    <row r="52" ht="11.25" customHeight="1">
      <c r="A52" s="183" t="s">
        <v>4116</v>
      </c>
      <c r="B52" s="183" t="s">
        <v>4117</v>
      </c>
    </row>
    <row r="53" ht="11.25" customHeight="1">
      <c r="A53" s="183" t="s">
        <v>4118</v>
      </c>
      <c r="B53" s="183" t="s">
        <v>4119</v>
      </c>
    </row>
    <row r="54" ht="11.25" customHeight="1">
      <c r="A54" s="183" t="s">
        <v>4120</v>
      </c>
      <c r="B54" s="183" t="s">
        <v>4121</v>
      </c>
    </row>
    <row r="55" ht="11.25" customHeight="1">
      <c r="A55" s="183" t="s">
        <v>4122</v>
      </c>
      <c r="B55" s="183" t="s">
        <v>4123</v>
      </c>
    </row>
    <row r="56" ht="11.25" customHeight="1">
      <c r="A56" s="183" t="s">
        <v>4124</v>
      </c>
      <c r="B56" s="183" t="s">
        <v>4125</v>
      </c>
    </row>
    <row r="57" ht="11.25" customHeight="1">
      <c r="A57" s="183" t="s">
        <v>4126</v>
      </c>
      <c r="B57" s="183" t="s">
        <v>4127</v>
      </c>
    </row>
    <row r="58" ht="11.25" customHeight="1">
      <c r="A58" s="183" t="s">
        <v>4128</v>
      </c>
      <c r="B58" s="183" t="s">
        <v>4129</v>
      </c>
    </row>
    <row r="59" ht="11.25" customHeight="1">
      <c r="A59" s="183" t="s">
        <v>4130</v>
      </c>
      <c r="B59" s="183" t="s">
        <v>4131</v>
      </c>
    </row>
    <row r="60" ht="11.25" customHeight="1">
      <c r="A60" s="183" t="s">
        <v>4132</v>
      </c>
      <c r="B60" s="183" t="s">
        <v>4133</v>
      </c>
    </row>
    <row r="61" ht="11.25" customHeight="1">
      <c r="A61" s="183"/>
      <c r="B61" s="183" t="s">
        <v>4134</v>
      </c>
    </row>
    <row r="62" ht="11.25" customHeight="1">
      <c r="A62" s="183"/>
      <c r="B62" s="183" t="s">
        <v>4135</v>
      </c>
    </row>
    <row r="63" ht="11.25" customHeight="1">
      <c r="A63" s="183"/>
      <c r="B63" s="183" t="s">
        <v>4136</v>
      </c>
    </row>
    <row r="64" ht="11.25" customHeight="1">
      <c r="A64" s="183"/>
      <c r="B64" s="183" t="s">
        <v>4137</v>
      </c>
    </row>
    <row r="65" ht="11.25" customHeight="1">
      <c r="A65" s="183"/>
      <c r="B65" s="183" t="s">
        <v>4138</v>
      </c>
    </row>
    <row r="66" ht="11.25" customHeight="1">
      <c r="A66" s="183"/>
      <c r="B66" s="183" t="s">
        <v>4139</v>
      </c>
    </row>
    <row r="67" ht="11.25" customHeight="1">
      <c r="A67" s="183"/>
      <c r="B67" s="183" t="s">
        <v>4140</v>
      </c>
    </row>
    <row r="68" ht="11.25" customHeight="1">
      <c r="A68" s="183"/>
      <c r="B68" s="183" t="s">
        <v>4141</v>
      </c>
    </row>
    <row r="69" ht="11.25" customHeight="1">
      <c r="A69" s="183"/>
      <c r="B69" s="183" t="s">
        <v>4142</v>
      </c>
    </row>
    <row r="70" ht="11.25" customHeight="1">
      <c r="A70" s="183"/>
      <c r="B70" s="183" t="s">
        <v>4143</v>
      </c>
    </row>
    <row r="71" ht="11.25" customHeight="1">
      <c r="A71" s="183"/>
      <c r="B71" s="183"/>
    </row>
    <row r="72" ht="11.25" customHeight="1">
      <c r="A72" s="183"/>
      <c r="B72" s="183"/>
    </row>
    <row r="73" ht="11.25" customHeight="1">
      <c r="A73" s="183"/>
      <c r="B73" s="183"/>
    </row>
    <row r="74" ht="11.25" customHeight="1">
      <c r="A74" s="183"/>
      <c r="B74" s="183"/>
    </row>
    <row r="75" ht="11.25" customHeight="1">
      <c r="A75" s="183"/>
      <c r="B75" s="183"/>
    </row>
    <row r="76" ht="11.25" customHeight="1">
      <c r="A76" s="183"/>
      <c r="B76" s="183"/>
    </row>
    <row r="77" ht="11.25" customHeight="1">
      <c r="A77" s="183"/>
      <c r="B77" s="183"/>
    </row>
    <row r="78" ht="11.25" customHeight="1">
      <c r="A78" s="183"/>
      <c r="B78" s="183"/>
    </row>
    <row r="79" ht="11.25" customHeight="1">
      <c r="A79" s="183"/>
      <c r="B79" s="183"/>
    </row>
    <row r="80" ht="11.25" customHeight="1">
      <c r="A80" s="183"/>
      <c r="B80" s="183"/>
    </row>
    <row r="81" ht="11.25" customHeight="1">
      <c r="A81" s="183"/>
      <c r="B81" s="183"/>
    </row>
    <row r="82" ht="11.25" customHeight="1">
      <c r="A82" s="183"/>
      <c r="B82" s="183"/>
    </row>
    <row r="83" ht="11.25" customHeight="1">
      <c r="A83" s="183"/>
      <c r="B83" s="183"/>
    </row>
    <row r="84" ht="11.25" customHeight="1">
      <c r="A84" s="183"/>
      <c r="B84" s="183"/>
    </row>
    <row r="85" ht="11.25" customHeight="1">
      <c r="A85" s="183"/>
      <c r="B85" s="183"/>
    </row>
    <row r="86" ht="11.25" customHeight="1">
      <c r="A86" s="183"/>
      <c r="B86" s="183"/>
    </row>
    <row r="87" ht="11.25" customHeight="1">
      <c r="A87" s="183"/>
      <c r="B87" s="183"/>
    </row>
    <row r="88" ht="11.25" customHeight="1">
      <c r="A88" s="183"/>
      <c r="B88" s="183"/>
    </row>
    <row r="89" ht="11.25" customHeight="1">
      <c r="A89" s="183"/>
      <c r="B89" s="183"/>
    </row>
    <row r="90" ht="11.25" customHeight="1">
      <c r="A90" s="183"/>
      <c r="B90" s="183"/>
    </row>
    <row r="91" ht="11.25" customHeight="1">
      <c r="A91" s="183"/>
      <c r="B91" s="183"/>
    </row>
    <row r="92" ht="11.25" customHeight="1">
      <c r="A92" s="183"/>
      <c r="B92" s="183"/>
    </row>
    <row r="93" ht="11.25" customHeight="1">
      <c r="A93" s="183"/>
      <c r="B93" s="183"/>
    </row>
    <row r="94" ht="11.25" customHeight="1">
      <c r="A94" s="183"/>
      <c r="B94" s="183"/>
    </row>
    <row r="95" ht="11.25" customHeight="1">
      <c r="A95" s="183"/>
      <c r="B95" s="183"/>
    </row>
    <row r="96" ht="11.25" customHeight="1">
      <c r="A96" s="183"/>
      <c r="B96" s="183"/>
    </row>
    <row r="97" ht="11.25" customHeight="1">
      <c r="A97" s="183"/>
      <c r="B97" s="183"/>
    </row>
    <row r="98" ht="11.25" customHeight="1">
      <c r="A98" s="183"/>
      <c r="B98" s="183"/>
    </row>
    <row r="99" ht="11.25" customHeight="1">
      <c r="A99" s="183"/>
      <c r="B99" s="183"/>
    </row>
    <row r="100" ht="11.25" customHeight="1">
      <c r="A100" s="183"/>
      <c r="B100" s="183"/>
    </row>
    <row r="101" ht="11.25" customHeight="1">
      <c r="A101" s="183"/>
      <c r="B101" s="183"/>
    </row>
    <row r="102" ht="11.25" customHeight="1">
      <c r="A102" s="183"/>
      <c r="B102" s="183"/>
    </row>
    <row r="103" ht="11.25" customHeight="1">
      <c r="A103" s="183"/>
      <c r="B103" s="183"/>
    </row>
    <row r="104" ht="11.25" customHeight="1">
      <c r="A104" s="183"/>
      <c r="B104" s="183"/>
    </row>
    <row r="105" ht="11.25" customHeight="1">
      <c r="A105" s="183"/>
      <c r="B105" s="183"/>
    </row>
    <row r="106" ht="11.25" customHeight="1">
      <c r="A106" s="183"/>
      <c r="B106" s="183"/>
    </row>
    <row r="107" ht="11.25" customHeight="1">
      <c r="A107" s="183"/>
      <c r="B107" s="183"/>
    </row>
    <row r="108" ht="11.25" customHeight="1">
      <c r="A108" s="183"/>
      <c r="B108" s="183"/>
    </row>
    <row r="109" ht="11.25" customHeight="1">
      <c r="A109" s="183"/>
      <c r="B109" s="183"/>
    </row>
    <row r="110" ht="11.25" customHeight="1">
      <c r="A110" s="183"/>
      <c r="B110" s="183"/>
    </row>
    <row r="111" ht="11.25" customHeight="1">
      <c r="A111" s="183"/>
      <c r="B111" s="183"/>
    </row>
    <row r="112" ht="11.25" customHeight="1">
      <c r="A112" s="183"/>
      <c r="B112" s="183"/>
    </row>
    <row r="113" ht="11.25" customHeight="1">
      <c r="A113" s="183"/>
      <c r="B113" s="183"/>
    </row>
    <row r="114" ht="11.25" customHeight="1">
      <c r="A114" s="183"/>
      <c r="B114" s="183"/>
    </row>
    <row r="115" ht="11.25" customHeight="1">
      <c r="A115" s="183"/>
      <c r="B115" s="183"/>
    </row>
    <row r="116" ht="11.25" customHeight="1">
      <c r="A116" s="183"/>
      <c r="B116" s="183"/>
    </row>
    <row r="117" ht="11.25" customHeight="1">
      <c r="A117" s="183"/>
      <c r="B117" s="183"/>
    </row>
    <row r="118" ht="11.25" customHeight="1">
      <c r="A118" s="183"/>
      <c r="B118" s="183"/>
    </row>
    <row r="119" ht="11.25" customHeight="1">
      <c r="A119" s="183"/>
      <c r="B119" s="183"/>
    </row>
    <row r="120" ht="11.25" customHeight="1">
      <c r="A120" s="183"/>
      <c r="B120" s="183"/>
    </row>
    <row r="121" ht="11.25" customHeight="1">
      <c r="A121" s="183"/>
      <c r="B121" s="183"/>
    </row>
    <row r="122" ht="11.25" customHeight="1">
      <c r="A122" s="183"/>
      <c r="B122" s="183"/>
    </row>
    <row r="123" ht="11.25" customHeight="1">
      <c r="A123" s="183"/>
      <c r="B123" s="183"/>
    </row>
    <row r="124" ht="11.25" customHeight="1">
      <c r="A124" s="183"/>
      <c r="B124" s="183"/>
    </row>
    <row r="125" ht="11.25" customHeight="1">
      <c r="A125" s="183"/>
      <c r="B125" s="183"/>
    </row>
    <row r="126" ht="11.25" customHeight="1">
      <c r="A126" s="183"/>
      <c r="B126" s="183"/>
    </row>
    <row r="127" ht="11.25" customHeight="1">
      <c r="A127" s="183"/>
      <c r="B127" s="183"/>
    </row>
    <row r="128" ht="11.25" customHeight="1">
      <c r="A128" s="183"/>
      <c r="B128" s="183"/>
    </row>
    <row r="129" ht="11.25" customHeight="1">
      <c r="A129" s="183"/>
      <c r="B129" s="183"/>
    </row>
    <row r="130" ht="11.25" customHeight="1">
      <c r="A130" s="183"/>
      <c r="B130" s="183"/>
    </row>
    <row r="131" ht="11.25" customHeight="1">
      <c r="A131" s="183"/>
      <c r="B131" s="183"/>
    </row>
    <row r="132" ht="11.25" customHeight="1">
      <c r="A132" s="183"/>
      <c r="B132" s="183"/>
    </row>
    <row r="133" ht="11.25" customHeight="1">
      <c r="A133" s="183"/>
      <c r="B133" s="183"/>
    </row>
    <row r="134" ht="11.25" customHeight="1">
      <c r="A134" s="183"/>
      <c r="B134" s="183"/>
    </row>
    <row r="135" ht="11.25" customHeight="1">
      <c r="A135" s="183"/>
      <c r="B135" s="183"/>
    </row>
    <row r="136" ht="11.25" customHeight="1">
      <c r="A136" s="183"/>
      <c r="B136" s="183"/>
    </row>
    <row r="137" ht="11.25" customHeight="1">
      <c r="A137" s="183"/>
      <c r="B137" s="183"/>
    </row>
    <row r="138" ht="11.25" customHeight="1">
      <c r="A138" s="183"/>
      <c r="B138" s="183"/>
    </row>
    <row r="139" ht="11.25" customHeight="1">
      <c r="A139" s="183"/>
      <c r="B139" s="183"/>
    </row>
    <row r="140" ht="11.25" customHeight="1">
      <c r="A140" s="183"/>
      <c r="B140" s="183"/>
    </row>
    <row r="141" ht="11.25" customHeight="1">
      <c r="A141" s="183"/>
      <c r="B141" s="183"/>
    </row>
    <row r="142" ht="11.25" customHeight="1">
      <c r="A142" s="183"/>
      <c r="B142" s="183"/>
    </row>
    <row r="143" ht="11.25" customHeight="1">
      <c r="A143" s="183"/>
      <c r="B143" s="183"/>
    </row>
    <row r="144" ht="11.25" customHeight="1">
      <c r="A144" s="183"/>
      <c r="B144" s="183"/>
    </row>
    <row r="145" ht="11.25" customHeight="1">
      <c r="A145" s="183"/>
      <c r="B145" s="183"/>
    </row>
    <row r="146" ht="11.25" customHeight="1">
      <c r="A146" s="183"/>
      <c r="B146" s="183"/>
    </row>
    <row r="147" ht="11.25" customHeight="1">
      <c r="A147" s="183"/>
      <c r="B147" s="183"/>
    </row>
    <row r="148" ht="11.25" customHeight="1">
      <c r="A148" s="183"/>
      <c r="B148" s="183"/>
    </row>
    <row r="149" ht="11.25" customHeight="1">
      <c r="A149" s="183"/>
      <c r="B149" s="183"/>
    </row>
    <row r="150" ht="11.25" customHeight="1">
      <c r="A150" s="183"/>
      <c r="B150" s="183"/>
    </row>
    <row r="151" ht="11.25" customHeight="1">
      <c r="A151" s="183"/>
      <c r="B151" s="183"/>
    </row>
    <row r="152" ht="11.25" customHeight="1">
      <c r="A152" s="183"/>
      <c r="B152" s="183"/>
    </row>
    <row r="153" ht="11.25" customHeight="1">
      <c r="A153" s="183"/>
      <c r="B153" s="183"/>
    </row>
    <row r="154" ht="11.25" customHeight="1">
      <c r="A154" s="183"/>
      <c r="B154" s="183"/>
    </row>
    <row r="155" ht="11.25" customHeight="1">
      <c r="A155" s="183"/>
      <c r="B155" s="183"/>
    </row>
    <row r="156" ht="11.25" customHeight="1">
      <c r="A156" s="183"/>
      <c r="B156" s="183"/>
    </row>
    <row r="157" ht="11.25" customHeight="1">
      <c r="A157" s="183"/>
      <c r="B157" s="183"/>
    </row>
    <row r="158" ht="11.25" customHeight="1">
      <c r="A158" s="183"/>
      <c r="B158" s="183"/>
    </row>
    <row r="159" ht="11.25" customHeight="1">
      <c r="A159" s="183"/>
      <c r="B159" s="183"/>
    </row>
    <row r="160" ht="11.25" customHeight="1">
      <c r="A160" s="183"/>
      <c r="B160" s="183"/>
    </row>
    <row r="161" ht="11.25" customHeight="1">
      <c r="A161" s="183"/>
      <c r="B161" s="183"/>
    </row>
    <row r="162" ht="11.25" customHeight="1">
      <c r="A162" s="183"/>
      <c r="B162" s="183"/>
    </row>
    <row r="163" ht="11.25" customHeight="1">
      <c r="A163" s="183"/>
      <c r="B163" s="183"/>
    </row>
    <row r="164" ht="11.25" customHeight="1">
      <c r="A164" s="183"/>
      <c r="B164" s="183"/>
    </row>
    <row r="165" ht="11.25" customHeight="1">
      <c r="A165" s="183"/>
      <c r="B165" s="183"/>
    </row>
    <row r="166" ht="11.25" customHeight="1">
      <c r="A166" s="183"/>
      <c r="B166" s="183"/>
    </row>
    <row r="167" ht="11.25" customHeight="1">
      <c r="A167" s="183"/>
      <c r="B167" s="183"/>
    </row>
    <row r="168" ht="11.25" customHeight="1">
      <c r="A168" s="183"/>
      <c r="B168" s="183"/>
    </row>
    <row r="169" ht="11.25" customHeight="1">
      <c r="A169" s="183"/>
      <c r="B169" s="183"/>
    </row>
    <row r="170" ht="11.25" customHeight="1">
      <c r="A170" s="183"/>
      <c r="B170" s="183"/>
    </row>
    <row r="171" ht="11.25" customHeight="1">
      <c r="A171" s="183"/>
      <c r="B171" s="183"/>
    </row>
    <row r="172" ht="11.25" customHeight="1">
      <c r="A172" s="183"/>
      <c r="B172" s="183"/>
    </row>
    <row r="173" ht="11.25" customHeight="1">
      <c r="A173" s="183"/>
      <c r="B173" s="183"/>
    </row>
    <row r="174" ht="11.25" customHeight="1">
      <c r="A174" s="183"/>
      <c r="B174" s="183"/>
    </row>
    <row r="175" ht="11.25" customHeight="1">
      <c r="A175" s="183"/>
      <c r="B175" s="183"/>
    </row>
    <row r="176" ht="11.25" customHeight="1">
      <c r="A176" s="183"/>
      <c r="B176" s="183"/>
    </row>
    <row r="177" ht="11.25" customHeight="1">
      <c r="A177" s="183"/>
      <c r="B177" s="183"/>
    </row>
    <row r="178" ht="11.25" customHeight="1">
      <c r="A178" s="183"/>
      <c r="B178" s="183"/>
    </row>
    <row r="179" ht="11.25" customHeight="1">
      <c r="A179" s="183"/>
      <c r="B179" s="183"/>
    </row>
    <row r="180" ht="11.25" customHeight="1">
      <c r="A180" s="183"/>
      <c r="B180" s="183"/>
    </row>
    <row r="181" ht="11.25" customHeight="1">
      <c r="A181" s="183"/>
      <c r="B181" s="183"/>
    </row>
    <row r="182" ht="11.25" customHeight="1">
      <c r="A182" s="183"/>
      <c r="B182" s="183"/>
    </row>
    <row r="183" ht="11.25" customHeight="1">
      <c r="A183" s="183"/>
      <c r="B183" s="183"/>
    </row>
    <row r="184" ht="11.25" customHeight="1">
      <c r="A184" s="183"/>
      <c r="B184" s="183"/>
    </row>
    <row r="185" ht="11.25" customHeight="1">
      <c r="A185" s="183"/>
      <c r="B185" s="183"/>
    </row>
    <row r="186" ht="11.25" customHeight="1">
      <c r="A186" s="183"/>
      <c r="B186" s="183"/>
    </row>
    <row r="187" ht="11.25" customHeight="1">
      <c r="A187" s="183"/>
      <c r="B187" s="183"/>
    </row>
    <row r="188" ht="11.25" customHeight="1">
      <c r="A188" s="183"/>
      <c r="B188" s="183"/>
    </row>
    <row r="189" ht="11.25" customHeight="1">
      <c r="A189" s="183"/>
      <c r="B189" s="183"/>
    </row>
    <row r="190" ht="11.25" customHeight="1">
      <c r="A190" s="183"/>
      <c r="B190" s="183"/>
    </row>
    <row r="191" ht="11.25" customHeight="1">
      <c r="A191" s="183"/>
      <c r="B191" s="183"/>
    </row>
    <row r="192" ht="11.25" customHeight="1">
      <c r="A192" s="183"/>
      <c r="B192" s="183"/>
    </row>
    <row r="193" ht="11.25" customHeight="1">
      <c r="A193" s="183"/>
      <c r="B193" s="183"/>
    </row>
    <row r="194" ht="11.25" customHeight="1">
      <c r="A194" s="183"/>
      <c r="B194" s="183"/>
    </row>
    <row r="195" ht="11.25" customHeight="1">
      <c r="A195" s="183"/>
      <c r="B195" s="183"/>
    </row>
    <row r="196" ht="11.25" customHeight="1">
      <c r="A196" s="183"/>
      <c r="B196" s="183"/>
    </row>
    <row r="197" ht="11.25" customHeight="1">
      <c r="A197" s="183"/>
      <c r="B197" s="183"/>
    </row>
    <row r="198" ht="11.25" customHeight="1">
      <c r="A198" s="183"/>
      <c r="B198" s="183"/>
    </row>
    <row r="199" ht="11.25" customHeight="1">
      <c r="A199" s="183"/>
      <c r="B199" s="183"/>
    </row>
    <row r="200" ht="11.25" customHeight="1">
      <c r="A200" s="183"/>
      <c r="B200" s="183"/>
    </row>
    <row r="201" ht="11.25" customHeight="1">
      <c r="A201" s="183"/>
      <c r="B201" s="183"/>
    </row>
    <row r="202" ht="11.25" customHeight="1">
      <c r="A202" s="183"/>
      <c r="B202" s="183"/>
    </row>
    <row r="203" ht="11.25" customHeight="1">
      <c r="A203" s="183"/>
      <c r="B203" s="183"/>
    </row>
    <row r="204" ht="11.25" customHeight="1">
      <c r="A204" s="183"/>
      <c r="B204" s="183"/>
    </row>
    <row r="205" ht="11.25" customHeight="1">
      <c r="A205" s="183"/>
      <c r="B205" s="183"/>
    </row>
    <row r="206" ht="11.25" customHeight="1">
      <c r="A206" s="183"/>
      <c r="B206" s="183"/>
    </row>
    <row r="207" ht="11.25" customHeight="1">
      <c r="A207" s="183"/>
      <c r="B207" s="183"/>
    </row>
    <row r="208" ht="11.25" customHeight="1">
      <c r="A208" s="183"/>
      <c r="B208" s="183"/>
    </row>
    <row r="209" ht="11.25" customHeight="1">
      <c r="A209" s="183"/>
      <c r="B209" s="183"/>
    </row>
    <row r="210" ht="11.25" customHeight="1">
      <c r="A210" s="183"/>
      <c r="B210" s="183"/>
    </row>
    <row r="211" ht="11.25" customHeight="1">
      <c r="A211" s="183"/>
      <c r="B211" s="183"/>
    </row>
    <row r="212" ht="11.25" customHeight="1">
      <c r="A212" s="183"/>
      <c r="B212" s="183"/>
    </row>
    <row r="213" ht="11.25" customHeight="1">
      <c r="A213" s="183"/>
      <c r="B213" s="183"/>
    </row>
    <row r="214" ht="11.25" customHeight="1">
      <c r="A214" s="183"/>
      <c r="B214" s="183"/>
    </row>
    <row r="215" ht="11.25" customHeight="1">
      <c r="A215" s="183"/>
      <c r="B215" s="183"/>
    </row>
    <row r="216" ht="11.25" customHeight="1">
      <c r="A216" s="183"/>
      <c r="B216" s="183"/>
    </row>
    <row r="217" ht="11.25" customHeight="1">
      <c r="A217" s="183"/>
      <c r="B217" s="183"/>
    </row>
    <row r="218" ht="11.25" customHeight="1">
      <c r="A218" s="183"/>
      <c r="B218" s="183"/>
    </row>
    <row r="219" ht="11.25" customHeight="1">
      <c r="A219" s="183"/>
      <c r="B219" s="183"/>
    </row>
    <row r="220" ht="11.25" customHeight="1">
      <c r="A220" s="183"/>
      <c r="B220" s="183"/>
    </row>
    <row r="221" ht="11.25" customHeight="1">
      <c r="A221" s="183"/>
      <c r="B221" s="183"/>
    </row>
    <row r="222" ht="11.25" customHeight="1">
      <c r="A222" s="183"/>
      <c r="B222" s="183"/>
    </row>
    <row r="223" ht="11.25" customHeight="1">
      <c r="A223" s="183"/>
      <c r="B223" s="183"/>
    </row>
    <row r="224" ht="11.25" customHeight="1">
      <c r="A224" s="183"/>
      <c r="B224" s="183"/>
    </row>
    <row r="225" ht="11.25" customHeight="1">
      <c r="A225" s="183"/>
      <c r="B225" s="183"/>
    </row>
    <row r="226" ht="11.25" customHeight="1">
      <c r="A226" s="183"/>
      <c r="B226" s="183"/>
    </row>
    <row r="227" ht="11.25" customHeight="1">
      <c r="A227" s="183"/>
      <c r="B227" s="183"/>
    </row>
    <row r="228" ht="11.25" customHeight="1">
      <c r="A228" s="183"/>
      <c r="B228" s="183"/>
    </row>
    <row r="229" ht="11.25" customHeight="1">
      <c r="A229" s="183"/>
      <c r="B229" s="183"/>
    </row>
    <row r="230" ht="11.25" customHeight="1">
      <c r="A230" s="183"/>
      <c r="B230" s="183"/>
    </row>
    <row r="231" ht="11.25" customHeight="1">
      <c r="A231" s="183"/>
      <c r="B231" s="183"/>
    </row>
    <row r="232" ht="11.25" customHeight="1">
      <c r="A232" s="183"/>
      <c r="B232" s="183"/>
    </row>
    <row r="233" ht="11.25" customHeight="1">
      <c r="A233" s="183"/>
      <c r="B233" s="183"/>
    </row>
    <row r="234" ht="11.25" customHeight="1">
      <c r="A234" s="183"/>
      <c r="B234" s="183"/>
    </row>
    <row r="235" ht="11.25" customHeight="1">
      <c r="A235" s="183"/>
      <c r="B235" s="183"/>
    </row>
    <row r="236" ht="11.25" customHeight="1">
      <c r="A236" s="183"/>
      <c r="B236" s="183"/>
    </row>
    <row r="237" ht="11.25" customHeight="1">
      <c r="A237" s="183"/>
      <c r="B237" s="183"/>
    </row>
    <row r="238" ht="11.25" customHeight="1">
      <c r="A238" s="183"/>
      <c r="B238" s="183"/>
    </row>
    <row r="239" ht="11.25" customHeight="1">
      <c r="A239" s="183"/>
      <c r="B239" s="183"/>
    </row>
    <row r="240" ht="11.25" customHeight="1">
      <c r="A240" s="183"/>
      <c r="B240" s="183"/>
    </row>
    <row r="241" ht="11.25" customHeight="1">
      <c r="A241" s="183"/>
      <c r="B241" s="183"/>
    </row>
    <row r="242" ht="11.25" customHeight="1">
      <c r="A242" s="183"/>
      <c r="B242" s="183"/>
    </row>
    <row r="243" ht="11.25" customHeight="1">
      <c r="A243" s="183"/>
      <c r="B243" s="183"/>
    </row>
    <row r="244" ht="11.25" customHeight="1">
      <c r="A244" s="183"/>
      <c r="B244" s="183"/>
    </row>
    <row r="245" ht="11.25" customHeight="1">
      <c r="A245" s="183"/>
      <c r="B245" s="183"/>
    </row>
    <row r="246" ht="11.25" customHeight="1">
      <c r="A246" s="183"/>
      <c r="B246" s="183"/>
    </row>
    <row r="247" ht="11.25" customHeight="1">
      <c r="A247" s="183"/>
      <c r="B247" s="183"/>
    </row>
    <row r="248" ht="11.25" customHeight="1">
      <c r="A248" s="183"/>
      <c r="B248" s="183"/>
    </row>
    <row r="249" ht="11.25" customHeight="1">
      <c r="A249" s="183"/>
      <c r="B249" s="183"/>
    </row>
    <row r="250" ht="11.25" customHeight="1">
      <c r="A250" s="183"/>
      <c r="B250" s="183"/>
    </row>
    <row r="251" ht="11.25" customHeight="1">
      <c r="A251" s="183"/>
      <c r="B251" s="183"/>
    </row>
    <row r="252" ht="11.25" customHeight="1">
      <c r="A252" s="183"/>
      <c r="B252" s="183"/>
    </row>
    <row r="253" ht="11.25" customHeight="1">
      <c r="A253" s="183"/>
      <c r="B253" s="183"/>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47" t="s">
        <v>4144</v>
      </c>
    </row>
    <row r="2" ht="90" customHeight="1">
      <c r="B2" s="1448" t="s">
        <v>4145</v>
      </c>
    </row>
    <row r="3" ht="67.5" customHeight="1">
      <c r="B3" s="1448" t="s">
        <v>4146</v>
      </c>
    </row>
    <row r="4" ht="33.75" customHeight="1">
      <c r="B4" s="1448" t="s">
        <v>4147</v>
      </c>
    </row>
    <row r="5" ht="11.25" customHeight="1">
      <c r="B5" s="1448" t="s">
        <v>4148</v>
      </c>
    </row>
    <row r="6" ht="22.5" customHeight="1">
      <c r="B6" s="1448" t="s">
        <v>4149</v>
      </c>
    </row>
    <row r="7" ht="22.5" customHeight="1">
      <c r="B7" s="1448" t="s">
        <v>4150</v>
      </c>
    </row>
    <row r="8" ht="22.5" customHeight="1">
      <c r="B8" s="1448" t="s">
        <v>4151</v>
      </c>
    </row>
    <row r="9" ht="22.5" customHeight="1">
      <c r="B9" s="1448" t="s">
        <v>4152</v>
      </c>
    </row>
    <row r="10" ht="56.25" customHeight="1">
      <c r="B10" s="1448" t="s">
        <v>4153</v>
      </c>
    </row>
    <row r="11" ht="12.75" customHeight="1">
      <c r="B11" s="1449" t="s">
        <v>4154</v>
      </c>
    </row>
    <row r="12" ht="11.25" customHeight="1">
      <c r="B12" s="1447" t="s">
        <v>4155</v>
      </c>
    </row>
    <row r="13" ht="22.5" customHeight="1">
      <c r="B13" s="1448" t="s">
        <v>4156</v>
      </c>
    </row>
    <row r="14" ht="67.5" customHeight="1">
      <c r="B14" s="1448" t="s">
        <v>4157</v>
      </c>
    </row>
    <row r="15" ht="22.5" customHeight="1">
      <c r="B15" s="1448" t="s">
        <v>4158</v>
      </c>
    </row>
    <row r="16" ht="11.25" customHeight="1">
      <c r="B16" s="1447" t="s">
        <v>4159</v>
      </c>
      <c r="D16" s="840"/>
    </row>
    <row r="17" ht="33.75" customHeight="1">
      <c r="B17" s="1448" t="s">
        <v>4160</v>
      </c>
    </row>
    <row r="18" ht="33.75" customHeight="1">
      <c r="B18" s="1448" t="s">
        <v>4161</v>
      </c>
    </row>
    <row r="19" ht="11.25" customHeight="1">
      <c r="B19" s="1448" t="s">
        <v>4162</v>
      </c>
    </row>
    <row r="20" ht="33.75" customHeight="1">
      <c r="B20" s="1448" t="s">
        <v>4163</v>
      </c>
    </row>
    <row r="21" ht="11.25" customHeight="1">
      <c r="B21" s="1447" t="s">
        <v>4164</v>
      </c>
    </row>
    <row r="22" ht="11.25" customHeight="1">
      <c r="B22" s="1448" t="s">
        <v>4165</v>
      </c>
    </row>
    <row r="24" ht="22.5" customHeight="1">
      <c r="B24" s="1450" t="s">
        <v>4166</v>
      </c>
    </row>
    <row r="26" ht="11.25" customHeight="1">
      <c r="B26" s="1447" t="s">
        <v>4167</v>
      </c>
    </row>
    <row r="27" ht="22.5" customHeight="1">
      <c r="B27" s="443" t="s">
        <v>398</v>
      </c>
    </row>
    <row r="28" ht="56.25" customHeight="1">
      <c r="B28" s="443" t="s">
        <v>4168</v>
      </c>
    </row>
    <row r="29" ht="11.25" customHeight="1">
      <c r="B29" s="1451" t="s">
        <v>4169</v>
      </c>
    </row>
    <row r="30" ht="22.5" customHeight="1">
      <c r="B30" s="443" t="s">
        <v>4170</v>
      </c>
    </row>
    <row r="32" ht="11.25" customHeight="1">
      <c r="A32" s="63"/>
      <c r="B32" s="1452" t="s">
        <v>4171</v>
      </c>
    </row>
    <row r="33" ht="14.25" customHeight="1">
      <c r="A33" s="1453">
        <v>1</v>
      </c>
      <c r="B33" s="1454" t="s">
        <v>4172</v>
      </c>
    </row>
    <row r="34" ht="14.25" customHeight="1">
      <c r="A34" s="1453">
        <v>2</v>
      </c>
      <c r="B34" s="1454" t="s">
        <v>4173</v>
      </c>
    </row>
    <row r="35" ht="11.25" customHeight="1">
      <c r="B35" s="1452" t="s">
        <v>4174</v>
      </c>
    </row>
    <row r="36" ht="11.25" customHeight="1">
      <c r="B36" s="1454" t="s">
        <v>4175</v>
      </c>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9"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8"/>
      <c r="F1" s="168"/>
      <c r="G1" s="168"/>
      <c r="H1" s="113" t="s">
        <v>354</v>
      </c>
      <c r="I1" s="113"/>
      <c r="V1" s="50" t="s">
        <v>14</v>
      </c>
    </row>
    <row r="2" s="50" customFormat="1" ht="14.25" hidden="1" customHeight="1">
      <c r="C2" s="396"/>
      <c r="D2" s="459" t="s">
        <v>109</v>
      </c>
      <c r="E2" s="460"/>
      <c r="F2" s="461"/>
      <c r="G2" s="218" t="s">
        <v>109</v>
      </c>
      <c r="H2" s="462"/>
      <c r="I2" s="463"/>
      <c r="L2" s="57"/>
      <c r="M2" s="57"/>
      <c r="N2" s="57"/>
      <c r="O2" s="57" t="s">
        <v>384</v>
      </c>
      <c r="P2" s="57"/>
      <c r="Q2" s="57"/>
      <c r="R2" s="129" t="s">
        <v>383</v>
      </c>
      <c r="S2" s="129" t="s">
        <v>383</v>
      </c>
      <c r="T2" s="57"/>
      <c r="U2" s="57"/>
      <c r="V2" s="50">
        <v>0</v>
      </c>
    </row>
    <row r="3" s="50" customFormat="1" ht="14.25" hidden="1" customHeight="1">
      <c r="C3" s="396"/>
      <c r="D3" s="464"/>
      <c r="E3" s="465"/>
      <c r="F3" s="453"/>
      <c r="G3" s="454"/>
      <c r="H3" s="454" t="s">
        <v>385</v>
      </c>
      <c r="I3" s="455"/>
      <c r="L3" s="57"/>
      <c r="M3" s="57"/>
      <c r="N3" s="57"/>
      <c r="O3" s="57"/>
      <c r="P3" s="57"/>
      <c r="Q3" s="57"/>
      <c r="R3" s="129"/>
      <c r="S3" s="129"/>
      <c r="T3" s="57"/>
      <c r="U3" s="57"/>
      <c r="V3" s="50">
        <v>0</v>
      </c>
    </row>
    <row r="4" ht="14.25" hidden="1" customHeight="1">
      <c r="V4" s="50">
        <v>0</v>
      </c>
    </row>
    <row r="5" s="70" customFormat="1" ht="5.25" customHeight="1">
      <c r="C5" s="418"/>
      <c r="D5" s="419"/>
      <c r="E5" s="419"/>
      <c r="F5" s="419"/>
      <c r="G5" s="419"/>
      <c r="H5" s="419" t="s">
        <v>358</v>
      </c>
      <c r="I5" s="419"/>
      <c r="J5" s="419"/>
      <c r="L5" s="57"/>
      <c r="M5" s="57"/>
      <c r="N5" s="57"/>
      <c r="O5" s="57"/>
      <c r="P5" s="57"/>
      <c r="Q5" s="57"/>
      <c r="R5" s="57"/>
      <c r="S5" s="57"/>
      <c r="T5" s="57"/>
      <c r="U5" s="57"/>
      <c r="V5" s="70">
        <v>5</v>
      </c>
    </row>
    <row r="6" ht="29.25" customHeight="1">
      <c r="C6" s="396"/>
      <c r="D6" s="466" t="s">
        <v>386</v>
      </c>
      <c r="E6" s="466"/>
      <c r="F6" s="466"/>
      <c r="G6" s="466"/>
      <c r="H6" s="466"/>
      <c r="I6" s="466"/>
      <c r="J6" s="421"/>
      <c r="K6" s="239"/>
      <c r="V6" s="50">
        <v>28</v>
      </c>
    </row>
    <row r="7" ht="18" customHeight="1">
      <c r="C7" s="396"/>
      <c r="D7" s="320" t="str">
        <f>IF(org=0,"Не определено",org)</f>
        <v xml:space="preserve">филиал Пермская ГРЭС АО "Интер РАО - Электрогенерация"</v>
      </c>
      <c r="E7" s="320"/>
      <c r="F7" s="320"/>
      <c r="G7" s="320"/>
      <c r="H7" s="320"/>
      <c r="I7" s="320"/>
      <c r="J7" s="421"/>
      <c r="K7" s="239"/>
      <c r="V7" s="50">
        <v>17</v>
      </c>
    </row>
    <row r="8" s="65" customFormat="1" ht="5.25" customHeight="1">
      <c r="A8" s="425"/>
      <c r="C8" s="426"/>
      <c r="D8" s="427"/>
      <c r="E8" s="427"/>
      <c r="F8" s="427"/>
      <c r="G8" s="427"/>
      <c r="H8" s="427"/>
      <c r="I8" s="427"/>
      <c r="J8" s="427"/>
      <c r="L8" s="57"/>
      <c r="M8" s="57"/>
      <c r="N8" s="57"/>
      <c r="O8" s="57"/>
      <c r="P8" s="57"/>
      <c r="Q8" s="57"/>
      <c r="R8" s="57"/>
      <c r="S8" s="57"/>
      <c r="T8" s="57"/>
      <c r="U8" s="57"/>
      <c r="V8" s="65">
        <v>5</v>
      </c>
    </row>
    <row r="9" s="65" customFormat="1" ht="5.25" customHeight="1">
      <c r="A9" s="425"/>
      <c r="C9" s="426"/>
      <c r="D9" s="427"/>
      <c r="E9" s="427"/>
      <c r="F9" s="427"/>
      <c r="G9" s="427"/>
      <c r="H9" s="427"/>
      <c r="I9" s="427"/>
      <c r="J9" s="427"/>
      <c r="L9" s="57"/>
      <c r="M9" s="57"/>
      <c r="N9" s="57"/>
      <c r="O9" s="57"/>
      <c r="P9" s="57"/>
      <c r="Q9" s="57"/>
      <c r="R9" s="57"/>
      <c r="S9" s="57"/>
      <c r="T9" s="57"/>
      <c r="U9" s="57"/>
      <c r="V9" s="65">
        <v>5</v>
      </c>
    </row>
    <row r="10" ht="14.65" customHeight="1">
      <c r="C10" s="396"/>
      <c r="D10" s="429" t="s">
        <v>302</v>
      </c>
      <c r="E10" s="430"/>
      <c r="F10" s="430"/>
      <c r="G10" s="430"/>
      <c r="H10" s="430"/>
      <c r="I10" s="430"/>
      <c r="J10" s="246" t="s">
        <v>303</v>
      </c>
      <c r="V10" s="50">
        <v>14</v>
      </c>
    </row>
    <row r="11" ht="27.300000000000001" customHeight="1">
      <c r="C11" s="396"/>
      <c r="D11" s="157" t="s">
        <v>88</v>
      </c>
      <c r="E11" s="246" t="s">
        <v>105</v>
      </c>
      <c r="F11" s="321" t="s">
        <v>88</v>
      </c>
      <c r="G11" s="322"/>
      <c r="H11" s="324" t="s">
        <v>387</v>
      </c>
      <c r="I11" s="324" t="s">
        <v>388</v>
      </c>
      <c r="J11" s="246"/>
      <c r="V11" s="50">
        <v>26</v>
      </c>
    </row>
    <row r="12" ht="14.65" customHeight="1">
      <c r="C12" s="396"/>
      <c r="D12" s="157"/>
      <c r="E12" s="246"/>
      <c r="F12" s="327"/>
      <c r="G12" s="328"/>
      <c r="H12" s="162"/>
      <c r="I12" s="162"/>
      <c r="J12" s="246"/>
      <c r="V12" s="50">
        <v>14</v>
      </c>
    </row>
    <row r="13" s="131" customFormat="1" ht="11.25" hidden="1" customHeight="1">
      <c r="C13" s="440"/>
      <c r="D13" s="441" t="s">
        <v>378</v>
      </c>
      <c r="E13" s="441"/>
      <c r="F13" s="441"/>
      <c r="G13" s="441"/>
      <c r="H13" s="442"/>
      <c r="I13" s="442"/>
      <c r="J13" s="443"/>
      <c r="L13" s="57"/>
      <c r="M13" s="57"/>
      <c r="N13" s="57"/>
      <c r="O13" s="57"/>
      <c r="P13" s="57"/>
      <c r="Q13" s="57"/>
      <c r="R13" s="57"/>
      <c r="S13" s="57"/>
      <c r="T13" s="57"/>
      <c r="U13" s="57"/>
      <c r="V13" s="131">
        <v>0</v>
      </c>
    </row>
    <row r="14" ht="14.65" customHeight="1">
      <c r="A14" s="50"/>
      <c r="C14" s="396"/>
      <c r="D14" s="459" t="s">
        <v>109</v>
      </c>
      <c r="E14" s="460"/>
      <c r="F14" s="461"/>
      <c r="G14" s="218" t="s">
        <v>109</v>
      </c>
      <c r="H14" s="462"/>
      <c r="I14" s="463"/>
      <c r="J14" s="285" t="s">
        <v>389</v>
      </c>
      <c r="K14" s="50"/>
      <c r="R14" s="129" t="s">
        <v>383</v>
      </c>
      <c r="S14" s="129" t="s">
        <v>383</v>
      </c>
      <c r="V14" s="50">
        <v>14</v>
      </c>
    </row>
    <row r="15" ht="14.65" customHeight="1">
      <c r="A15" s="50"/>
      <c r="C15" s="396"/>
      <c r="D15" s="464"/>
      <c r="E15" s="465"/>
      <c r="F15" s="453"/>
      <c r="G15" s="454"/>
      <c r="H15" s="454" t="s">
        <v>385</v>
      </c>
      <c r="I15" s="455"/>
      <c r="J15" s="287"/>
      <c r="K15" s="50"/>
      <c r="R15" s="129"/>
      <c r="S15" s="129"/>
      <c r="V15" s="50">
        <v>14</v>
      </c>
    </row>
    <row r="16" ht="14.65" customHeight="1">
      <c r="A16" s="50"/>
      <c r="C16" s="396"/>
      <c r="D16" s="453"/>
      <c r="E16" s="454" t="s">
        <v>121</v>
      </c>
      <c r="F16" s="455"/>
      <c r="G16" s="455"/>
      <c r="H16" s="456"/>
      <c r="I16" s="456"/>
      <c r="J16" s="289"/>
      <c r="K16" s="50"/>
      <c r="V16" s="50">
        <v>14</v>
      </c>
    </row>
    <row r="17" ht="14.65" customHeight="1">
      <c r="K17" s="50"/>
      <c r="V17" s="50">
        <v>14</v>
      </c>
    </row>
    <row r="18" ht="22.5" hidden="1" customHeight="1">
      <c r="A18" s="56" t="s">
        <v>82</v>
      </c>
      <c r="B18" s="50">
        <v>0</v>
      </c>
      <c r="C18" s="128">
        <v>3</v>
      </c>
      <c r="D18" s="50">
        <v>5</v>
      </c>
      <c r="E18" s="50">
        <v>38</v>
      </c>
      <c r="F18" s="50">
        <v>3</v>
      </c>
      <c r="G18" s="50">
        <v>3</v>
      </c>
      <c r="H18" s="50">
        <v>38</v>
      </c>
      <c r="I18" s="50">
        <v>35</v>
      </c>
      <c r="J18" s="50">
        <v>103</v>
      </c>
      <c r="K18" s="139">
        <v>3</v>
      </c>
      <c r="L18" s="57">
        <v>10</v>
      </c>
      <c r="M18" s="57">
        <v>10</v>
      </c>
      <c r="N18" s="57">
        <v>10</v>
      </c>
      <c r="O18" s="57">
        <v>13</v>
      </c>
      <c r="P18" s="57">
        <v>15</v>
      </c>
      <c r="Q18" s="57">
        <v>16</v>
      </c>
      <c r="R18" s="57">
        <v>10</v>
      </c>
      <c r="S18" s="57">
        <v>10</v>
      </c>
      <c r="T18" s="57">
        <v>10</v>
      </c>
      <c r="U18" s="57">
        <v>10</v>
      </c>
      <c r="V18" s="50">
        <v>23</v>
      </c>
    </row>
  </sheetData>
  <sheetProtection autoFilter="0" deleteColumns="0" deleteRows="0" formatCells="1" formatColumns="0" formatRows="0" insertColumns="1" insertHyperlinks="1" insertRows="0" pivotTables="1" selectLockedCells="0" selectUnlockedCells="0" sheet="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isablePrompts="0">
    <dataValidation sqref="E13:G13" type="none" allowBlank="1" error="Допускается ввод только неотрицательных чисел!" errorStyle="stop" errorTitle="Ошибка" imeMode="noControl" operator="between" showDropDown="0" showErrorMessage="1" showInputMessage="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7F004F-0036-475A-A04A-00F4004F00D6}"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 xr:uid="{000E0089-0013-482B-85F9-00BA007C009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7000DF-008D-4ADB-9A41-00B0007F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Р7-Офис/2024.1.3.422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Екель Валерий Алексеевич</cp:lastModifiedBy>
  <cp:revision>1</cp:revision>
  <dcterms:created xsi:type="dcterms:W3CDTF">2004-05-21T07:18:45Z</dcterms:created>
  <dcterms:modified xsi:type="dcterms:W3CDTF">2024-05-20T07:39:48Z</dcterms:modified>
</cp:coreProperties>
</file>

<file path=docProps/custom.xml><?xml version="1.0" encoding="utf-8"?>
<Properties xmlns="http://schemas.openxmlformats.org/officeDocument/2006/custom-properties" xmlns:vt="http://schemas.openxmlformats.org/officeDocument/2006/docPropsVTypes"/>
</file>